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er\21-000\21-072 Samsø Energiakademi - Nesoi 2, RM\3 Oplæg og notater\English materials\"/>
    </mc:Choice>
  </mc:AlternateContent>
  <xr:revisionPtr revIDLastSave="0" documentId="13_ncr:1_{53892286-348B-4EF5-AA8C-0B978BA8D11B}" xr6:coauthVersionLast="47" xr6:coauthVersionMax="47" xr10:uidLastSave="{00000000-0000-0000-0000-000000000000}"/>
  <bookViews>
    <workbookView xWindow="-108" yWindow="-108" windowWidth="23256" windowHeight="12456" firstSheet="4" activeTab="8" xr2:uid="{B97DBEA5-EB97-40FB-8063-E85AB0B43433}"/>
  </bookViews>
  <sheets>
    <sheet name="Forest" sheetId="10" r:id="rId1"/>
    <sheet name="CO2-potential" sheetId="8" r:id="rId2"/>
    <sheet name="PtX" sheetId="3" r:id="rId3"/>
    <sheet name="Wind and PVs" sheetId="7" r:id="rId4"/>
    <sheet name="Surplus heat" sheetId="13" r:id="rId5"/>
    <sheet name="Protein crops" sheetId="12" r:id="rId6"/>
    <sheet name="Husbandry" sheetId="11" r:id="rId7"/>
    <sheet name="Organic soil" sheetId="9" r:id="rId8"/>
    <sheet name="Marine biomass" sheetId="14" r:id="rId9"/>
  </sheets>
  <definedNames>
    <definedName name="OLE_LINK3" localSheetId="1">'CO2-potential'!$O$4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11" l="1"/>
  <c r="S10" i="11"/>
  <c r="S11" i="11"/>
  <c r="S12" i="11"/>
  <c r="S13" i="11"/>
  <c r="S14" i="11"/>
  <c r="S8" i="11"/>
  <c r="S15" i="11" s="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C15" i="11"/>
  <c r="G44" i="3" l="1"/>
  <c r="G45" i="3"/>
  <c r="P8" i="9" l="1"/>
  <c r="M8" i="9"/>
  <c r="I8" i="9"/>
  <c r="I7" i="9"/>
  <c r="F8" i="9"/>
  <c r="F7" i="9"/>
  <c r="Q8" i="9"/>
  <c r="J8" i="9"/>
  <c r="J7" i="9"/>
  <c r="L11" i="3" l="1"/>
  <c r="E22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5" i="12"/>
  <c r="S23" i="11"/>
  <c r="H15" i="13"/>
  <c r="G20" i="13"/>
  <c r="G17" i="13"/>
  <c r="G18" i="13" s="1"/>
  <c r="J18" i="14" l="1"/>
  <c r="K18" i="14"/>
  <c r="E17" i="14"/>
  <c r="G17" i="14" s="1"/>
  <c r="J17" i="14" s="1"/>
  <c r="M17" i="14" s="1"/>
  <c r="E16" i="14"/>
  <c r="E15" i="14"/>
  <c r="G15" i="14" s="1"/>
  <c r="K15" i="14" s="1"/>
  <c r="O15" i="14" s="1"/>
  <c r="C14" i="14"/>
  <c r="E13" i="14"/>
  <c r="G12" i="14"/>
  <c r="K12" i="14" s="1"/>
  <c r="E11" i="14"/>
  <c r="G11" i="14" s="1"/>
  <c r="J11" i="14" s="1"/>
  <c r="M11" i="14" s="1"/>
  <c r="I9" i="14"/>
  <c r="H9" i="14"/>
  <c r="C9" i="14"/>
  <c r="C10" i="14" s="1"/>
  <c r="E10" i="14" s="1"/>
  <c r="J12" i="14" l="1"/>
  <c r="M12" i="14" s="1"/>
  <c r="P12" i="14"/>
  <c r="N12" i="14"/>
  <c r="O12" i="14"/>
  <c r="P18" i="14"/>
  <c r="N18" i="14"/>
  <c r="L18" i="14"/>
  <c r="Q18" i="14" s="1"/>
  <c r="M18" i="14"/>
  <c r="P15" i="14"/>
  <c r="N15" i="14"/>
  <c r="J15" i="14"/>
  <c r="M15" i="14" s="1"/>
  <c r="O18" i="14"/>
  <c r="E9" i="14"/>
  <c r="G9" i="14" s="1"/>
  <c r="K9" i="14" s="1"/>
  <c r="N9" i="14" s="1"/>
  <c r="K17" i="14"/>
  <c r="N17" i="14" s="1"/>
  <c r="L11" i="14"/>
  <c r="G10" i="14"/>
  <c r="K11" i="14"/>
  <c r="N11" i="14" s="1"/>
  <c r="G13" i="14"/>
  <c r="G14" i="14"/>
  <c r="J14" i="14" s="1"/>
  <c r="M14" i="14" s="1"/>
  <c r="G16" i="14"/>
  <c r="P17" i="14" l="1"/>
  <c r="O17" i="14"/>
  <c r="K16" i="14"/>
  <c r="N16" i="14" s="1"/>
  <c r="J16" i="14"/>
  <c r="M16" i="14" s="1"/>
  <c r="P11" i="14"/>
  <c r="Q11" i="14" s="1"/>
  <c r="O11" i="14"/>
  <c r="K13" i="14"/>
  <c r="N13" i="14" s="1"/>
  <c r="J13" i="14"/>
  <c r="M13" i="14" s="1"/>
  <c r="J9" i="14"/>
  <c r="P9" i="14"/>
  <c r="O9" i="14"/>
  <c r="L12" i="14"/>
  <c r="Q12" i="14" s="1"/>
  <c r="L15" i="14"/>
  <c r="Q15" i="14" s="1"/>
  <c r="L17" i="14"/>
  <c r="K14" i="14"/>
  <c r="J10" i="14"/>
  <c r="M10" i="14" s="1"/>
  <c r="K10" i="14"/>
  <c r="N10" i="14" s="1"/>
  <c r="L9" i="14" l="1"/>
  <c r="Q9" i="14" s="1"/>
  <c r="M9" i="14"/>
  <c r="Q17" i="14"/>
  <c r="K19" i="14"/>
  <c r="N14" i="14"/>
  <c r="P16" i="14"/>
  <c r="O16" i="14"/>
  <c r="P13" i="14"/>
  <c r="O13" i="14"/>
  <c r="P10" i="14"/>
  <c r="O10" i="14"/>
  <c r="P14" i="14"/>
  <c r="O14" i="14"/>
  <c r="L14" i="14"/>
  <c r="L13" i="14"/>
  <c r="J19" i="14"/>
  <c r="L16" i="14"/>
  <c r="L10" i="14"/>
  <c r="Q16" i="14" l="1"/>
  <c r="Q13" i="14"/>
  <c r="O19" i="14"/>
  <c r="P19" i="14"/>
  <c r="Q14" i="14"/>
  <c r="L19" i="14"/>
  <c r="Q10" i="14"/>
  <c r="F22" i="12"/>
  <c r="D22" i="12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C20" i="11"/>
  <c r="H22" i="12" l="1"/>
  <c r="Q19" i="14"/>
  <c r="S20" i="11"/>
  <c r="S25" i="11" l="1"/>
  <c r="S34" i="11" s="1"/>
  <c r="S35" i="11" s="1"/>
  <c r="P36" i="11" l="1"/>
  <c r="P37" i="11" s="1"/>
  <c r="P38" i="11" s="1"/>
  <c r="E36" i="11"/>
  <c r="E37" i="11" s="1"/>
  <c r="E38" i="11" s="1"/>
  <c r="J36" i="11"/>
  <c r="J37" i="11" s="1"/>
  <c r="J38" i="11" s="1"/>
  <c r="I36" i="11"/>
  <c r="I37" i="11" s="1"/>
  <c r="I38" i="11" s="1"/>
  <c r="L36" i="11"/>
  <c r="L37" i="11" s="1"/>
  <c r="L38" i="11" s="1"/>
  <c r="H36" i="11"/>
  <c r="H37" i="11" s="1"/>
  <c r="H38" i="11" s="1"/>
  <c r="G36" i="11"/>
  <c r="G37" i="11" s="1"/>
  <c r="G38" i="11" s="1"/>
  <c r="D36" i="11"/>
  <c r="D37" i="11" s="1"/>
  <c r="D38" i="11" s="1"/>
  <c r="O36" i="11"/>
  <c r="O37" i="11" s="1"/>
  <c r="O38" i="11" s="1"/>
  <c r="N36" i="11"/>
  <c r="N37" i="11" s="1"/>
  <c r="N38" i="11" s="1"/>
  <c r="K36" i="11"/>
  <c r="K37" i="11" s="1"/>
  <c r="K38" i="11" s="1"/>
  <c r="R36" i="11"/>
  <c r="R37" i="11" s="1"/>
  <c r="R38" i="11" s="1"/>
  <c r="F36" i="11"/>
  <c r="F37" i="11" s="1"/>
  <c r="F38" i="11" s="1"/>
  <c r="Q36" i="11"/>
  <c r="Q37" i="11" s="1"/>
  <c r="Q38" i="11" s="1"/>
  <c r="C36" i="11"/>
  <c r="C37" i="11" s="1"/>
  <c r="C38" i="11" s="1"/>
  <c r="M36" i="11"/>
  <c r="M37" i="11" s="1"/>
  <c r="M38" i="11" s="1"/>
  <c r="S36" i="11"/>
  <c r="S37" i="11" s="1"/>
  <c r="G11" i="8"/>
  <c r="I11" i="8" s="1"/>
  <c r="K11" i="8" s="1"/>
  <c r="M11" i="8" s="1"/>
  <c r="M13" i="8" s="1"/>
  <c r="I27" i="7"/>
  <c r="G26" i="7"/>
  <c r="G25" i="7"/>
  <c r="G24" i="7"/>
  <c r="G23" i="7"/>
  <c r="G22" i="7"/>
  <c r="I17" i="7"/>
  <c r="I16" i="7"/>
  <c r="I15" i="7"/>
  <c r="I14" i="7"/>
  <c r="G8" i="3"/>
  <c r="G13" i="3" s="1"/>
  <c r="C11" i="3"/>
  <c r="L29" i="8"/>
  <c r="H29" i="8"/>
  <c r="G29" i="8"/>
  <c r="F29" i="8"/>
  <c r="J17" i="8"/>
  <c r="J19" i="8" s="1"/>
  <c r="I28" i="7" l="1"/>
  <c r="G8" i="7" s="1"/>
  <c r="I18" i="7"/>
  <c r="H8" i="7" s="1"/>
  <c r="I29" i="8"/>
  <c r="K29" i="8" s="1"/>
  <c r="M29" i="8" s="1"/>
  <c r="M31" i="8" s="1"/>
  <c r="G3" i="8" s="1"/>
  <c r="I4" i="3" l="1"/>
  <c r="I6" i="3" s="1"/>
  <c r="I7" i="3" s="1"/>
  <c r="I9" i="3" s="1"/>
  <c r="I13" i="3" l="1"/>
  <c r="I10" i="3"/>
  <c r="I8" i="3"/>
  <c r="G43" i="3"/>
  <c r="I43" i="3" s="1"/>
  <c r="G42" i="3"/>
  <c r="I42" i="3" s="1"/>
  <c r="I46" i="3" s="1"/>
  <c r="I48" i="3" l="1"/>
  <c r="G22" i="3" l="1"/>
  <c r="G19" i="3"/>
  <c r="G18" i="3"/>
  <c r="G32" i="3"/>
  <c r="G31" i="3"/>
  <c r="I30" i="3"/>
  <c r="G25" i="3" l="1"/>
  <c r="G12" i="3"/>
  <c r="I12" i="3" s="1"/>
  <c r="G33" i="3"/>
  <c r="G23" i="3" s="1"/>
  <c r="G34" i="3"/>
  <c r="G26" i="3" s="1"/>
  <c r="I16" i="3" l="1"/>
  <c r="I18" i="3" s="1"/>
  <c r="I25" i="3" s="1"/>
  <c r="H6" i="13" s="1"/>
  <c r="G35" i="3"/>
  <c r="I22" i="3" l="1"/>
  <c r="I26" i="3"/>
  <c r="I24" i="3"/>
  <c r="I20" i="3"/>
  <c r="I23" i="3" s="1"/>
  <c r="D7" i="7" s="1"/>
  <c r="F7" i="7" s="1"/>
  <c r="I19" i="3"/>
  <c r="G36" i="3"/>
  <c r="I32" i="3" l="1"/>
  <c r="I29" i="3"/>
  <c r="I34" i="3" s="1"/>
  <c r="H7" i="13" s="1"/>
  <c r="H8" i="13" l="1"/>
  <c r="I36" i="3"/>
  <c r="I31" i="3"/>
  <c r="I35" i="3"/>
  <c r="I33" i="3"/>
  <c r="D6" i="7" s="1"/>
  <c r="H9" i="13" l="1"/>
  <c r="H16" i="13" s="1"/>
  <c r="H17" i="13" s="1"/>
  <c r="H18" i="13" s="1"/>
  <c r="H20" i="13" s="1"/>
  <c r="F6" i="7"/>
  <c r="F8" i="7" s="1"/>
  <c r="I8" i="7" s="1"/>
  <c r="D8" i="7"/>
  <c r="H11" i="13" l="1"/>
  <c r="H12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Pia Strunge Folkmann</author>
  </authors>
  <commentList>
    <comment ref="E9" authorId="0" shapeId="0" xr:uid="{3F405A9B-5A46-4D75-903B-7D1CEBE0529B}">
      <text>
        <r>
          <rPr>
            <b/>
            <sz val="9"/>
            <color indexed="81"/>
            <rFont val="Tahoma"/>
            <family val="2"/>
          </rPr>
          <t>Pia Strunge Folkmann:</t>
        </r>
        <r>
          <rPr>
            <sz val="9"/>
            <color indexed="81"/>
            <rFont val="Tahoma"/>
            <family val="2"/>
          </rPr>
          <t xml:space="preserve">
Kun kød</t>
        </r>
      </text>
    </comment>
  </commentList>
</comments>
</file>

<file path=xl/sharedStrings.xml><?xml version="1.0" encoding="utf-8"?>
<sst xmlns="http://schemas.openxmlformats.org/spreadsheetml/2006/main" count="359" uniqueCount="283">
  <si>
    <t>Vejledning</t>
  </si>
  <si>
    <t>Sum</t>
  </si>
  <si>
    <t>TJ</t>
  </si>
  <si>
    <t>D:</t>
  </si>
  <si>
    <t>E:</t>
  </si>
  <si>
    <t>F:</t>
  </si>
  <si>
    <t xml:space="preserve">G: </t>
  </si>
  <si>
    <t>Biogas</t>
  </si>
  <si>
    <t>4.</t>
  </si>
  <si>
    <t>5.</t>
  </si>
  <si>
    <t>Udtagning af lavbundsjord</t>
  </si>
  <si>
    <t>7.</t>
  </si>
  <si>
    <t>MW</t>
  </si>
  <si>
    <t>FLH</t>
  </si>
  <si>
    <t>%</t>
  </si>
  <si>
    <t>Metanol</t>
  </si>
  <si>
    <t>CO2 (ton)</t>
  </si>
  <si>
    <t>-T18</t>
  </si>
  <si>
    <t>-U17</t>
  </si>
  <si>
    <t>-V16</t>
  </si>
  <si>
    <t>-T27</t>
  </si>
  <si>
    <t>-T28</t>
  </si>
  <si>
    <t>ton</t>
  </si>
  <si>
    <t>120 MJ/kg</t>
  </si>
  <si>
    <t>Øvre brændværdi</t>
  </si>
  <si>
    <t>55,5 MJ/kg</t>
  </si>
  <si>
    <t>CH4 ton, beregnet på molvægt: H2 - 2 g, CH4 - 16 g</t>
  </si>
  <si>
    <t>Beregnet jf. Energistyrelsens teknologikatalog. S. 216</t>
  </si>
  <si>
    <t>Overskudsvarme beregnet andel af energiinput fra brint jf. Energistyrelsens teknologikatalog s.216</t>
  </si>
  <si>
    <t>Beregnet jf. Energistyrelsens teknologikatalog.</t>
  </si>
  <si>
    <t>/ha</t>
  </si>
  <si>
    <t>Gylletype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</si>
  <si>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CH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total  </t>
    </r>
  </si>
  <si>
    <t>Tabel 2</t>
  </si>
  <si>
    <t>Proteinafgrøder</t>
  </si>
  <si>
    <t>Total ton C</t>
  </si>
  <si>
    <t>Total ton N</t>
  </si>
  <si>
    <t>Ton C/ha</t>
  </si>
  <si>
    <t>Ton N/ha</t>
  </si>
  <si>
    <t>NA</t>
  </si>
  <si>
    <t>Udnyttelse af overskudsvarme</t>
  </si>
  <si>
    <t>PtX</t>
  </si>
  <si>
    <t>Brint</t>
  </si>
  <si>
    <t>+T82</t>
  </si>
  <si>
    <t>+U82</t>
  </si>
  <si>
    <t>+V82</t>
  </si>
  <si>
    <t>C29</t>
  </si>
  <si>
    <t>C28</t>
  </si>
  <si>
    <t>C48</t>
  </si>
  <si>
    <t>C49</t>
  </si>
  <si>
    <t>Increase forest area</t>
  </si>
  <si>
    <t>There are no calculation tables for this exercise.</t>
  </si>
  <si>
    <t>Wood and wood chips</t>
  </si>
  <si>
    <t>Wood pellets and wood waste</t>
  </si>
  <si>
    <t>TJ from biomass burning in total</t>
  </si>
  <si>
    <t>TJ/ton DM</t>
  </si>
  <si>
    <t>Ton biomass (DM)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</si>
  <si>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weight fraction (molar basis)</t>
    </r>
  </si>
  <si>
    <t>Straw</t>
  </si>
  <si>
    <t>Biomass incineration</t>
  </si>
  <si>
    <t>CO2-potential from waste incineration (non-organic)</t>
  </si>
  <si>
    <t>TJ from waste incineration</t>
  </si>
  <si>
    <t>ton CO2/TJ from waste</t>
  </si>
  <si>
    <t>Source: Notat Miljøstyrelsen 2013: Klimaplan - Udsortering af plast fra affald. https://ens.dk/sites/ens.dk/files/Analyser/1_krav_om_udsortering_af_plast_fra_affald.pdf</t>
  </si>
  <si>
    <t>Cattle slurry</t>
  </si>
  <si>
    <t>Pigs slurry</t>
  </si>
  <si>
    <t>Mixed slurry</t>
  </si>
  <si>
    <t>Poultry slurry</t>
  </si>
  <si>
    <t>Slurry total</t>
  </si>
  <si>
    <t>Ton slurry</t>
  </si>
  <si>
    <t>Dry matter (DM)</t>
  </si>
  <si>
    <t>Ton DM</t>
  </si>
  <si>
    <t>DM fraction digested</t>
  </si>
  <si>
    <t>DM digested (ton)</t>
  </si>
  <si>
    <t>CO2 fraction (Weigth basis</t>
  </si>
  <si>
    <t>Fraction of slurry used</t>
  </si>
  <si>
    <t>Estimated CO2-potential</t>
  </si>
  <si>
    <t>Co2-potential from slurry</t>
  </si>
  <si>
    <r>
      <t>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-potentials</t>
    </r>
  </si>
  <si>
    <t>Animal manure</t>
  </si>
  <si>
    <t>Waste</t>
  </si>
  <si>
    <r>
      <t>Total estimated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-potential</t>
    </r>
  </si>
  <si>
    <t>Methanization</t>
  </si>
  <si>
    <t>PtX - Methanization</t>
  </si>
  <si>
    <t xml:space="preserve">Base data for scaling </t>
  </si>
  <si>
    <t>Calculated capacity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</si>
  <si>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potential</t>
    </r>
  </si>
  <si>
    <r>
      <t>Exploited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potential</t>
    </r>
  </si>
  <si>
    <t>Hydrogen consumption</t>
  </si>
  <si>
    <t>Hydrogen - energy</t>
  </si>
  <si>
    <t>Process power</t>
  </si>
  <si>
    <t>Elektrolysis-capacity (SOEC)</t>
  </si>
  <si>
    <t>Methane</t>
  </si>
  <si>
    <t>ton/year</t>
  </si>
  <si>
    <t>TJ/year</t>
  </si>
  <si>
    <t>Surplus heat</t>
  </si>
  <si>
    <t>Power use for synthesis including electrolysis</t>
  </si>
  <si>
    <t xml:space="preserve">  - fraction for synthesis</t>
  </si>
  <si>
    <t>Methanol</t>
  </si>
  <si>
    <t>Surplus heat from methanol production</t>
  </si>
  <si>
    <t>Surplus heat after regeneration to hydrogen plant</t>
  </si>
  <si>
    <t>PtX - Hydrogen</t>
  </si>
  <si>
    <t>Elektrolysis-capacity</t>
  </si>
  <si>
    <t>Full load hours</t>
  </si>
  <si>
    <t>Yearly production, hydrogen</t>
  </si>
  <si>
    <t>Heat consumption for elektrolysis</t>
  </si>
  <si>
    <t>Regenerable heat</t>
  </si>
  <si>
    <t>Heat lost</t>
  </si>
  <si>
    <t>Increased biogas production</t>
  </si>
  <si>
    <t>Pig slurry</t>
  </si>
  <si>
    <t>Slurry, total</t>
  </si>
  <si>
    <r>
      <t>Methane potential Nm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/ton)</t>
    </r>
  </si>
  <si>
    <r>
      <t>energy content per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CH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(Joules)</t>
    </r>
  </si>
  <si>
    <t>Energy-potential (TJ)</t>
  </si>
  <si>
    <t>Fraction used</t>
  </si>
  <si>
    <t>Energy in increased biogas production</t>
  </si>
  <si>
    <t xml:space="preserve">PtX - Methanol </t>
  </si>
  <si>
    <t>Power use for SOEC elektrolysis</t>
  </si>
  <si>
    <t>Vs</t>
  </si>
  <si>
    <t>Wind and PVs</t>
  </si>
  <si>
    <t>Division of capacity between wind turbines ans photovoltaics</t>
  </si>
  <si>
    <t>Power for hydrogen production</t>
  </si>
  <si>
    <t>Power for methanol og met,hane production</t>
  </si>
  <si>
    <t>Hereof ocean wind (%)</t>
  </si>
  <si>
    <t>Hereof landbased wind (TJ)</t>
  </si>
  <si>
    <t>Wind (TJ)</t>
  </si>
  <si>
    <t>PVs (TJ)</t>
  </si>
  <si>
    <t>Control must be &lt; 0</t>
  </si>
  <si>
    <t>Production from PVs</t>
  </si>
  <si>
    <t>Photovoltaics increased capacity</t>
  </si>
  <si>
    <t>Rooftop units, family houses (4,5 kWp-anlæg)</t>
  </si>
  <si>
    <t>Rooftop units, high rise buildings (25 kWp-anlæg)</t>
  </si>
  <si>
    <t>Landbased projects</t>
  </si>
  <si>
    <t>Industrial building projects</t>
  </si>
  <si>
    <t>New PVs production</t>
  </si>
  <si>
    <t>Land based wind, increase</t>
  </si>
  <si>
    <t>125 m turbine (2,3 MW, 2.800 FLH)</t>
  </si>
  <si>
    <t>138 m turbine (3,5 MW, 3.000 FLH)</t>
  </si>
  <si>
    <t>150 m turbine (3,5 MW, 3.400 FLH)</t>
  </si>
  <si>
    <t>150 m turbine (4,2 MW, 3.000 FLH)</t>
  </si>
  <si>
    <t>180 m turbine (4,2 MW, 3.700 FLH)</t>
  </si>
  <si>
    <t>Total, new landbased turbines</t>
  </si>
  <si>
    <t>/unit.</t>
  </si>
  <si>
    <t>Production pr. unit (TJ)</t>
  </si>
  <si>
    <t>Number of units or area</t>
  </si>
  <si>
    <t>TJ pr. turbine</t>
  </si>
  <si>
    <t>units</t>
  </si>
  <si>
    <t>New turbines, production</t>
  </si>
  <si>
    <t>Production from wind turbines</t>
  </si>
  <si>
    <t>Borehole heat storage</t>
  </si>
  <si>
    <t>Surplus heat from PtX facility</t>
  </si>
  <si>
    <t xml:space="preserve"> Heat consumption in SOEC-facility</t>
  </si>
  <si>
    <t>Net yield of heat</t>
  </si>
  <si>
    <t>Fraction stored for 5 months+ (may-to september)</t>
  </si>
  <si>
    <t>Loss at storage</t>
  </si>
  <si>
    <t>Net yield total in district heating</t>
  </si>
  <si>
    <t>*based on experience from a system i Crailsheim, Germany</t>
  </si>
  <si>
    <r>
      <t>kWh/m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volume</t>
    </r>
  </si>
  <si>
    <r>
      <t>Volume, m</t>
    </r>
    <r>
      <rPr>
        <vertAlign val="superscript"/>
        <sz val="11"/>
        <rFont val="Calibri"/>
        <family val="2"/>
        <scheme val="minor"/>
      </rPr>
      <t>3</t>
    </r>
  </si>
  <si>
    <t>Heat storage capacity, Mwh</t>
  </si>
  <si>
    <t>Converted to TJ</t>
  </si>
  <si>
    <t>Area, hectares at 35 meters depth of borehole</t>
  </si>
  <si>
    <t>*Effecter based on experience from heat storage in Brædstrup, Denmark</t>
  </si>
  <si>
    <t>Net effect of stored heat in district heating*</t>
  </si>
  <si>
    <t>% actual use of net yield</t>
  </si>
  <si>
    <t>Dimensioning</t>
  </si>
  <si>
    <t>Scale*</t>
  </si>
  <si>
    <t>Change in crop combination [ha]</t>
  </si>
  <si>
    <t>New area with crop</t>
  </si>
  <si>
    <t>Nitrogen norm / ha</t>
  </si>
  <si>
    <t>Estimated reduction in use of nitrogen fertilizer (ton)</t>
  </si>
  <si>
    <t>Crop type</t>
  </si>
  <si>
    <t>Winter wheat</t>
  </si>
  <si>
    <t>Spring wheat</t>
  </si>
  <si>
    <t>Rye</t>
  </si>
  <si>
    <t>Winter barley</t>
  </si>
  <si>
    <t>Spring barley</t>
  </si>
  <si>
    <t>Oats</t>
  </si>
  <si>
    <t>Triticale and other grains to maturity</t>
  </si>
  <si>
    <t>Potatoes</t>
  </si>
  <si>
    <t>Legumes for maturity</t>
  </si>
  <si>
    <t>Sugar beets for factory and feed beets</t>
  </si>
  <si>
    <t>Cereals and pulses for silage (whole grains)</t>
  </si>
  <si>
    <t>Grassland outside the rotation</t>
  </si>
  <si>
    <t>Total rapeseed + flax + other industrial seeds</t>
  </si>
  <si>
    <t>Maize for maturity</t>
  </si>
  <si>
    <t>Maize for feeding</t>
  </si>
  <si>
    <t>Cultivated area in the municipality (ha)</t>
  </si>
  <si>
    <t>Lucerne (alfalfa)</t>
  </si>
  <si>
    <t>th</t>
  </si>
  <si>
    <t>Control: The sum in column E must be 0.</t>
  </si>
  <si>
    <t>Table 1</t>
  </si>
  <si>
    <t>Beef cattle, cows</t>
  </si>
  <si>
    <t>Breeding bulls</t>
  </si>
  <si>
    <t>Poultry</t>
  </si>
  <si>
    <t>WTS-pigs</t>
  </si>
  <si>
    <t>Goats/sheep</t>
  </si>
  <si>
    <t>Heifers</t>
  </si>
  <si>
    <t>Deer</t>
  </si>
  <si>
    <t>Horses</t>
  </si>
  <si>
    <t>Fur animals</t>
  </si>
  <si>
    <t>Sl. Pigs</t>
  </si>
  <si>
    <t xml:space="preserve">Slaughter calves 0-6 months </t>
  </si>
  <si>
    <t xml:space="preserve">Slaughter calves +6 months </t>
  </si>
  <si>
    <t>Piglets</t>
  </si>
  <si>
    <t>Heifer calves</t>
  </si>
  <si>
    <t>Dairy cows, yearly</t>
  </si>
  <si>
    <t>Sows, yearly</t>
  </si>
  <si>
    <t>Main total</t>
  </si>
  <si>
    <t>Stanchion-tied</t>
  </si>
  <si>
    <t>Deep litter</t>
  </si>
  <si>
    <t>Free range</t>
  </si>
  <si>
    <t>Loose housing / box</t>
  </si>
  <si>
    <t>Loose housing / box/ cage</t>
  </si>
  <si>
    <t>Loose housing / slatted</t>
  </si>
  <si>
    <t>Loose housing - cubicles</t>
  </si>
  <si>
    <t>LULUCF 2018' cell D11</t>
  </si>
  <si>
    <t>LULUCF 2018' cell e12</t>
  </si>
  <si>
    <t>Number of animals by area [yearly animals or produced number by year]</t>
  </si>
  <si>
    <t>Sum of animals</t>
  </si>
  <si>
    <t>Column markers</t>
  </si>
  <si>
    <t>Row markers</t>
  </si>
  <si>
    <t>AUs/Animals*, **</t>
  </si>
  <si>
    <t>AUs/geographical area</t>
  </si>
  <si>
    <t>Agricultural area</t>
  </si>
  <si>
    <t>Permanent grass</t>
  </si>
  <si>
    <t>Total agricultural area</t>
  </si>
  <si>
    <t>AUs/ha</t>
  </si>
  <si>
    <t xml:space="preserve">Reduction in hectares: </t>
  </si>
  <si>
    <t>Total reduction in hectares agricultural areas and permanent grass:</t>
  </si>
  <si>
    <t>Reduktion in animal units, total</t>
  </si>
  <si>
    <t>Reduction in %</t>
  </si>
  <si>
    <t>Reduction per animal type</t>
  </si>
  <si>
    <t>AUs after reduction</t>
  </si>
  <si>
    <t>Number of animals per animal type afet reduction</t>
  </si>
  <si>
    <t xml:space="preserve">  New forest</t>
  </si>
  <si>
    <t xml:space="preserve">  PVs</t>
  </si>
  <si>
    <t xml:space="preserve">  Protein crops for food/feed</t>
  </si>
  <si>
    <t xml:space="preserve">  Rewetted area</t>
  </si>
  <si>
    <t>*Nutrient norms for animal manures</t>
  </si>
  <si>
    <t>**1 animal unit corresponds to 100 kg nitrogen excreted ab animal</t>
  </si>
  <si>
    <t>Husbandry</t>
  </si>
  <si>
    <t>Organic permanent grass</t>
  </si>
  <si>
    <t>Organic agricultural soil</t>
  </si>
  <si>
    <t>Taking out to nature use (conversion to permanent grass)</t>
  </si>
  <si>
    <t>Taking out for rewetting - periodic wetland</t>
  </si>
  <si>
    <t>6-12% carbon (area from annex K8 2018)</t>
  </si>
  <si>
    <t>6-12% carbon (area taken out - max 100%)</t>
  </si>
  <si>
    <t>%-age taken out</t>
  </si>
  <si>
    <t>&gt;12% carbon (area from annex K8 2018)</t>
  </si>
  <si>
    <t>&gt;12% carbon (area taken out - max 100%)</t>
  </si>
  <si>
    <t>Sum of areas taken out</t>
  </si>
  <si>
    <t>Production</t>
  </si>
  <si>
    <t>Harvest/growth (ton per ha )</t>
  </si>
  <si>
    <t>Dry matter harvested per ha (ton)</t>
  </si>
  <si>
    <t>Area in municipality</t>
  </si>
  <si>
    <t>Dry matter potential (ton)</t>
  </si>
  <si>
    <t>C-content, share of dry matter</t>
  </si>
  <si>
    <t>Dry matter share</t>
  </si>
  <si>
    <t>N-content (share of dry matter)</t>
  </si>
  <si>
    <r>
      <t>Dispalcement potential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ton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</si>
  <si>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 effect (ton 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O)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</si>
  <si>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 effect (ton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-e)</t>
    </r>
  </si>
  <si>
    <t>Total emission-reduction</t>
  </si>
  <si>
    <t>Mussels, meat</t>
  </si>
  <si>
    <t>Mussels, shells</t>
  </si>
  <si>
    <t>Seastars</t>
  </si>
  <si>
    <t>"Konksnails"</t>
  </si>
  <si>
    <t>Oysters</t>
  </si>
  <si>
    <t>Seasalad</t>
  </si>
  <si>
    <t>Sugarweeds</t>
  </si>
  <si>
    <t>Other weeds</t>
  </si>
  <si>
    <t>Eelgrass</t>
  </si>
  <si>
    <t>Total CO2-effect</t>
  </si>
  <si>
    <t xml:space="preserve">Sources: </t>
  </si>
  <si>
    <t xml:space="preserve">Seasalad: Notat fra DCE – Nationalt Center for Miljø og Energi , 2020.Høst af eutrofieringsbetingede
masseforekomster af søsalat - status på viden om miljøeffekter og økonomi. Mussels: </t>
  </si>
  <si>
    <t>Seasalad: Notat fra DCE – Nationalt Center for Miljø og Energi , 2020.Høst af eutrofieringsbetingede
masseforekomster af søsalat - status på viden om miljøeffekter og økonomi.</t>
  </si>
  <si>
    <t>Seasalad approximated from Double Crop results</t>
  </si>
  <si>
    <t>Seassaladt: Nationalt Center for Miljø og energi, 2020</t>
  </si>
  <si>
    <t>Eelgrass: Lange et. al., 2020. Storskala-transplantation af ålegreæs - Metoder og perspektiver</t>
  </si>
  <si>
    <t>Table 1 - Marine biomass</t>
  </si>
  <si>
    <r>
      <t>CO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-effect from marine instruments</t>
    </r>
  </si>
  <si>
    <t>Marine biomasse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</si>
</sst>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Open Sans"/>
      <family val="2"/>
    </font>
    <font>
      <vertAlign val="subscript"/>
      <sz val="10"/>
      <name val="Arial"/>
      <family val="2"/>
    </font>
    <font>
      <i/>
      <vertAlign val="subscript"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337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0" xfId="1" applyFill="1"/>
    <xf numFmtId="0" fontId="3" fillId="3" borderId="2" xfId="1" applyFill="1" applyBorder="1" applyAlignment="1">
      <alignment horizontal="left" indent="1"/>
    </xf>
    <xf numFmtId="0" fontId="3" fillId="3" borderId="4" xfId="1" applyFill="1" applyBorder="1"/>
    <xf numFmtId="0" fontId="3" fillId="3" borderId="3" xfId="1" applyFill="1" applyBorder="1"/>
    <xf numFmtId="164" fontId="3" fillId="3" borderId="1" xfId="1" applyNumberFormat="1" applyFill="1" applyBorder="1"/>
    <xf numFmtId="164" fontId="3" fillId="3" borderId="2" xfId="1" applyNumberFormat="1" applyFill="1" applyBorder="1"/>
    <xf numFmtId="0" fontId="3" fillId="3" borderId="5" xfId="1" applyFill="1" applyBorder="1" applyAlignment="1">
      <alignment horizontal="left" indent="1"/>
    </xf>
    <xf numFmtId="0" fontId="3" fillId="3" borderId="6" xfId="1" applyFill="1" applyBorder="1"/>
    <xf numFmtId="164" fontId="3" fillId="3" borderId="8" xfId="1" applyNumberFormat="1" applyFill="1" applyBorder="1"/>
    <xf numFmtId="164" fontId="3" fillId="3" borderId="5" xfId="1" applyNumberFormat="1" applyFill="1" applyBorder="1"/>
    <xf numFmtId="0" fontId="4" fillId="3" borderId="2" xfId="1" applyFont="1" applyFill="1" applyBorder="1"/>
    <xf numFmtId="0" fontId="4" fillId="3" borderId="4" xfId="1" applyFont="1" applyFill="1" applyBorder="1"/>
    <xf numFmtId="0" fontId="4" fillId="3" borderId="4" xfId="1" applyFont="1" applyFill="1" applyBorder="1" applyAlignment="1">
      <alignment horizontal="left"/>
    </xf>
    <xf numFmtId="165" fontId="3" fillId="3" borderId="1" xfId="1" applyNumberFormat="1" applyFill="1" applyBorder="1"/>
    <xf numFmtId="3" fontId="3" fillId="4" borderId="3" xfId="2" applyNumberFormat="1" applyFont="1" applyFill="1" applyBorder="1"/>
    <xf numFmtId="0" fontId="0" fillId="5" borderId="1" xfId="0" applyFill="1" applyBorder="1"/>
    <xf numFmtId="166" fontId="5" fillId="3" borderId="0" xfId="1" applyNumberFormat="1" applyFont="1" applyFill="1"/>
    <xf numFmtId="0" fontId="3" fillId="3" borderId="2" xfId="1" applyFill="1" applyBorder="1"/>
    <xf numFmtId="0" fontId="3" fillId="3" borderId="4" xfId="1" applyFill="1" applyBorder="1" applyAlignment="1">
      <alignment horizontal="left"/>
    </xf>
    <xf numFmtId="3" fontId="3" fillId="3" borderId="1" xfId="1" applyNumberFormat="1" applyFill="1" applyBorder="1"/>
    <xf numFmtId="0" fontId="3" fillId="3" borderId="3" xfId="1" applyFill="1" applyBorder="1" applyAlignment="1">
      <alignment horizontal="right"/>
    </xf>
    <xf numFmtId="0" fontId="3" fillId="3" borderId="2" xfId="1" applyFill="1" applyBorder="1" applyAlignment="1">
      <alignment horizontal="left"/>
    </xf>
    <xf numFmtId="0" fontId="0" fillId="0" borderId="0" xfId="0" applyAlignment="1">
      <alignment wrapText="1"/>
    </xf>
    <xf numFmtId="0" fontId="3" fillId="3" borderId="3" xfId="1" applyFill="1" applyBorder="1" applyAlignment="1">
      <alignment horizontal="left"/>
    </xf>
    <xf numFmtId="3" fontId="3" fillId="0" borderId="1" xfId="1" applyNumberFormat="1" applyBorder="1"/>
    <xf numFmtId="0" fontId="3" fillId="3" borderId="1" xfId="1" applyFill="1" applyBorder="1"/>
    <xf numFmtId="0" fontId="3" fillId="0" borderId="0" xfId="1"/>
    <xf numFmtId="3" fontId="0" fillId="0" borderId="0" xfId="0" applyNumberFormat="1"/>
    <xf numFmtId="166" fontId="0" fillId="0" borderId="0" xfId="0" applyNumberFormat="1"/>
    <xf numFmtId="0" fontId="4" fillId="3" borderId="1" xfId="1" applyFont="1" applyFill="1" applyBorder="1"/>
    <xf numFmtId="0" fontId="0" fillId="6" borderId="1" xfId="0" applyFill="1" applyBorder="1"/>
    <xf numFmtId="0" fontId="0" fillId="7" borderId="1" xfId="0" quotePrefix="1" applyFill="1" applyBorder="1"/>
    <xf numFmtId="0" fontId="0" fillId="7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64" fontId="4" fillId="8" borderId="1" xfId="1" applyNumberFormat="1" applyFont="1" applyFill="1" applyBorder="1"/>
    <xf numFmtId="0" fontId="3" fillId="3" borderId="1" xfId="1" applyFill="1" applyBorder="1" applyAlignment="1">
      <alignment horizontal="left"/>
    </xf>
    <xf numFmtId="1" fontId="1" fillId="0" borderId="1" xfId="0" applyNumberFormat="1" applyFont="1" applyBorder="1"/>
    <xf numFmtId="3" fontId="0" fillId="0" borderId="1" xfId="0" applyNumberFormat="1" applyBorder="1"/>
    <xf numFmtId="0" fontId="3" fillId="3" borderId="1" xfId="1" applyFill="1" applyBorder="1" applyAlignment="1">
      <alignment horizontal="center" wrapText="1"/>
    </xf>
    <xf numFmtId="0" fontId="3" fillId="3" borderId="1" xfId="1" applyFill="1" applyBorder="1" applyAlignment="1">
      <alignment horizontal="center"/>
    </xf>
    <xf numFmtId="3" fontId="4" fillId="8" borderId="1" xfId="1" applyNumberFormat="1" applyFont="1" applyFill="1" applyBorder="1"/>
    <xf numFmtId="3" fontId="3" fillId="9" borderId="1" xfId="1" applyNumberFormat="1" applyFill="1" applyBorder="1"/>
    <xf numFmtId="1" fontId="0" fillId="9" borderId="1" xfId="0" applyNumberFormat="1" applyFill="1" applyBorder="1"/>
    <xf numFmtId="3" fontId="0" fillId="9" borderId="1" xfId="0" applyNumberFormat="1" applyFill="1" applyBorder="1"/>
    <xf numFmtId="3" fontId="3" fillId="9" borderId="1" xfId="2" applyNumberFormat="1" applyFont="1" applyFill="1" applyBorder="1"/>
    <xf numFmtId="0" fontId="3" fillId="0" borderId="1" xfId="1" applyBorder="1"/>
    <xf numFmtId="164" fontId="4" fillId="0" borderId="1" xfId="1" applyNumberFormat="1" applyFont="1" applyBorder="1"/>
    <xf numFmtId="164" fontId="0" fillId="0" borderId="1" xfId="0" applyNumberFormat="1" applyBorder="1"/>
    <xf numFmtId="9" fontId="3" fillId="7" borderId="1" xfId="2" applyFont="1" applyFill="1" applyBorder="1"/>
    <xf numFmtId="3" fontId="3" fillId="7" borderId="1" xfId="2" applyNumberFormat="1" applyFont="1" applyFill="1" applyBorder="1"/>
    <xf numFmtId="9" fontId="0" fillId="7" borderId="1" xfId="0" applyNumberFormat="1" applyFill="1" applyBorder="1"/>
    <xf numFmtId="0" fontId="3" fillId="0" borderId="0" xfId="1" applyAlignment="1">
      <alignment horizontal="left" indent="1"/>
    </xf>
    <xf numFmtId="164" fontId="3" fillId="0" borderId="0" xfId="1" applyNumberFormat="1"/>
    <xf numFmtId="0" fontId="3" fillId="0" borderId="0" xfId="1" applyAlignment="1">
      <alignment horizontal="right"/>
    </xf>
    <xf numFmtId="3" fontId="3" fillId="0" borderId="0" xfId="2" applyNumberFormat="1" applyFont="1" applyFill="1" applyBorder="1"/>
    <xf numFmtId="3" fontId="4" fillId="0" borderId="0" xfId="1" applyNumberFormat="1" applyFont="1"/>
    <xf numFmtId="0" fontId="0" fillId="0" borderId="0" xfId="0" applyAlignment="1">
      <alignment vertical="top"/>
    </xf>
    <xf numFmtId="3" fontId="0" fillId="4" borderId="1" xfId="0" applyNumberFormat="1" applyFill="1" applyBorder="1"/>
    <xf numFmtId="0" fontId="0" fillId="3" borderId="1" xfId="0" applyFill="1" applyBorder="1"/>
    <xf numFmtId="0" fontId="0" fillId="10" borderId="1" xfId="0" applyFill="1" applyBorder="1"/>
    <xf numFmtId="2" fontId="0" fillId="10" borderId="1" xfId="0" applyNumberFormat="1" applyFill="1" applyBorder="1"/>
    <xf numFmtId="3" fontId="0" fillId="3" borderId="1" xfId="0" applyNumberForma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67" fontId="1" fillId="8" borderId="10" xfId="3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" fontId="0" fillId="8" borderId="1" xfId="0" applyNumberFormat="1" applyFill="1" applyBorder="1"/>
    <xf numFmtId="2" fontId="0" fillId="0" borderId="1" xfId="0" applyNumberFormat="1" applyBorder="1"/>
    <xf numFmtId="0" fontId="1" fillId="0" borderId="9" xfId="0" applyFont="1" applyBorder="1" applyAlignment="1">
      <alignment horizontal="left" wrapText="1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4" fillId="3" borderId="1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vertical="top" wrapText="1"/>
    </xf>
    <xf numFmtId="0" fontId="4" fillId="3" borderId="3" xfId="1" applyFont="1" applyFill="1" applyBorder="1"/>
    <xf numFmtId="0" fontId="3" fillId="3" borderId="12" xfId="1" applyFill="1" applyBorder="1" applyAlignment="1">
      <alignment horizontal="left" indent="1"/>
    </xf>
    <xf numFmtId="0" fontId="3" fillId="3" borderId="11" xfId="1" applyFill="1" applyBorder="1"/>
    <xf numFmtId="0" fontId="3" fillId="3" borderId="13" xfId="1" applyFill="1" applyBorder="1"/>
    <xf numFmtId="0" fontId="4" fillId="3" borderId="3" xfId="1" applyFont="1" applyFill="1" applyBorder="1" applyAlignment="1">
      <alignment horizontal="right"/>
    </xf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2" fillId="0" borderId="21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1" fillId="0" borderId="22" xfId="0" applyFont="1" applyBorder="1" applyAlignment="1">
      <alignment horizontal="left"/>
    </xf>
    <xf numFmtId="167" fontId="11" fillId="0" borderId="23" xfId="0" applyNumberFormat="1" applyFont="1" applyBorder="1"/>
    <xf numFmtId="167" fontId="11" fillId="0" borderId="1" xfId="0" applyNumberFormat="1" applyFont="1" applyBorder="1"/>
    <xf numFmtId="167" fontId="11" fillId="0" borderId="22" xfId="0" applyNumberFormat="1" applyFont="1" applyBorder="1"/>
    <xf numFmtId="0" fontId="11" fillId="0" borderId="24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167" fontId="12" fillId="0" borderId="9" xfId="0" applyNumberFormat="1" applyFont="1" applyBorder="1"/>
    <xf numFmtId="0" fontId="0" fillId="0" borderId="0" xfId="0" quotePrefix="1"/>
    <xf numFmtId="0" fontId="13" fillId="0" borderId="0" xfId="0" applyFont="1"/>
    <xf numFmtId="0" fontId="12" fillId="0" borderId="0" xfId="0" applyFont="1" applyAlignment="1">
      <alignment horizontal="left"/>
    </xf>
    <xf numFmtId="167" fontId="12" fillId="0" borderId="0" xfId="0" applyNumberFormat="1" applyFont="1"/>
    <xf numFmtId="0" fontId="10" fillId="0" borderId="27" xfId="0" applyFont="1" applyBorder="1"/>
    <xf numFmtId="0" fontId="10" fillId="0" borderId="28" xfId="0" applyFont="1" applyBorder="1"/>
    <xf numFmtId="0" fontId="10" fillId="0" borderId="29" xfId="0" applyFont="1" applyBorder="1"/>
    <xf numFmtId="0" fontId="13" fillId="6" borderId="14" xfId="0" applyFont="1" applyFill="1" applyBorder="1"/>
    <xf numFmtId="0" fontId="0" fillId="6" borderId="15" xfId="0" applyFill="1" applyBorder="1"/>
    <xf numFmtId="0" fontId="0" fillId="6" borderId="16" xfId="0" applyFill="1" applyBorder="1"/>
    <xf numFmtId="167" fontId="0" fillId="0" borderId="3" xfId="3" applyNumberFormat="1" applyFont="1" applyBorder="1"/>
    <xf numFmtId="0" fontId="0" fillId="0" borderId="8" xfId="0" applyBorder="1"/>
    <xf numFmtId="0" fontId="0" fillId="6" borderId="30" xfId="0" applyFill="1" applyBorder="1"/>
    <xf numFmtId="0" fontId="0" fillId="6" borderId="0" xfId="0" applyFill="1"/>
    <xf numFmtId="0" fontId="0" fillId="6" borderId="31" xfId="0" applyFill="1" applyBorder="1"/>
    <xf numFmtId="0" fontId="0" fillId="6" borderId="14" xfId="0" applyFill="1" applyBorder="1"/>
    <xf numFmtId="167" fontId="1" fillId="6" borderId="15" xfId="3" applyNumberFormat="1" applyFont="1" applyFill="1" applyBorder="1"/>
    <xf numFmtId="0" fontId="0" fillId="0" borderId="7" xfId="0" applyBorder="1"/>
    <xf numFmtId="167" fontId="0" fillId="0" borderId="13" xfId="3" applyNumberFormat="1" applyFont="1" applyBorder="1"/>
    <xf numFmtId="167" fontId="1" fillId="11" borderId="7" xfId="3" applyNumberFormat="1" applyFont="1" applyFill="1" applyBorder="1"/>
    <xf numFmtId="0" fontId="14" fillId="0" borderId="32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0" fillId="0" borderId="22" xfId="0" applyBorder="1"/>
    <xf numFmtId="0" fontId="0" fillId="0" borderId="33" xfId="0" applyBorder="1"/>
    <xf numFmtId="0" fontId="0" fillId="0" borderId="24" xfId="0" applyBorder="1"/>
    <xf numFmtId="0" fontId="0" fillId="0" borderId="5" xfId="0" applyBorder="1"/>
    <xf numFmtId="0" fontId="0" fillId="6" borderId="32" xfId="0" applyFill="1" applyBorder="1"/>
    <xf numFmtId="167" fontId="0" fillId="0" borderId="22" xfId="3" applyNumberFormat="1" applyFont="1" applyBorder="1"/>
    <xf numFmtId="0" fontId="0" fillId="6" borderId="22" xfId="0" applyFill="1" applyBorder="1"/>
    <xf numFmtId="2" fontId="0" fillId="0" borderId="22" xfId="0" applyNumberFormat="1" applyBorder="1"/>
    <xf numFmtId="167" fontId="0" fillId="12" borderId="22" xfId="3" applyNumberFormat="1" applyFont="1" applyFill="1" applyBorder="1"/>
    <xf numFmtId="0" fontId="0" fillId="6" borderId="24" xfId="0" applyFill="1" applyBorder="1"/>
    <xf numFmtId="166" fontId="1" fillId="11" borderId="22" xfId="0" applyNumberFormat="1" applyFont="1" applyFill="1" applyBorder="1"/>
    <xf numFmtId="0" fontId="0" fillId="12" borderId="33" xfId="0" quotePrefix="1" applyFill="1" applyBorder="1"/>
    <xf numFmtId="0" fontId="1" fillId="5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5" xfId="0" applyFill="1" applyBorder="1"/>
    <xf numFmtId="0" fontId="1" fillId="3" borderId="12" xfId="0" applyFont="1" applyFill="1" applyBorder="1"/>
    <xf numFmtId="0" fontId="0" fillId="3" borderId="7" xfId="0" applyFill="1" applyBorder="1"/>
    <xf numFmtId="0" fontId="0" fillId="3" borderId="13" xfId="0" applyFill="1" applyBorder="1"/>
    <xf numFmtId="0" fontId="1" fillId="3" borderId="2" xfId="0" applyFont="1" applyFill="1" applyBorder="1"/>
    <xf numFmtId="0" fontId="1" fillId="3" borderId="5" xfId="0" applyFont="1" applyFill="1" applyBorder="1"/>
    <xf numFmtId="167" fontId="0" fillId="7" borderId="1" xfId="3" applyNumberFormat="1" applyFont="1" applyFill="1" applyBorder="1"/>
    <xf numFmtId="0" fontId="0" fillId="12" borderId="1" xfId="0" applyFill="1" applyBorder="1"/>
    <xf numFmtId="0" fontId="17" fillId="13" borderId="0" xfId="0" applyFont="1" applyFill="1"/>
    <xf numFmtId="0" fontId="0" fillId="13" borderId="0" xfId="0" applyFill="1"/>
    <xf numFmtId="4" fontId="0" fillId="0" borderId="0" xfId="0" applyNumberFormat="1"/>
    <xf numFmtId="0" fontId="15" fillId="0" borderId="0" xfId="0" applyFont="1"/>
    <xf numFmtId="0" fontId="18" fillId="7" borderId="31" xfId="0" applyFont="1" applyFill="1" applyBorder="1"/>
    <xf numFmtId="0" fontId="18" fillId="7" borderId="0" xfId="0" applyFont="1" applyFill="1"/>
    <xf numFmtId="0" fontId="18" fillId="7" borderId="0" xfId="0" applyFont="1" applyFill="1" applyAlignment="1">
      <alignment horizont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 vertical="center" wrapText="1"/>
    </xf>
    <xf numFmtId="0" fontId="1" fillId="10" borderId="46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47" xfId="0" applyBorder="1"/>
    <xf numFmtId="3" fontId="0" fillId="0" borderId="47" xfId="0" applyNumberFormat="1" applyBorder="1"/>
    <xf numFmtId="2" fontId="0" fillId="0" borderId="47" xfId="0" applyNumberFormat="1" applyBorder="1"/>
    <xf numFmtId="3" fontId="0" fillId="0" borderId="39" xfId="0" applyNumberFormat="1" applyBorder="1"/>
    <xf numFmtId="4" fontId="0" fillId="0" borderId="39" xfId="0" applyNumberFormat="1" applyBorder="1"/>
    <xf numFmtId="3" fontId="0" fillId="15" borderId="47" xfId="0" applyNumberFormat="1" applyFill="1" applyBorder="1"/>
    <xf numFmtId="3" fontId="0" fillId="16" borderId="48" xfId="0" applyNumberFormat="1" applyFill="1" applyBorder="1"/>
    <xf numFmtId="0" fontId="0" fillId="0" borderId="42" xfId="0" applyBorder="1"/>
    <xf numFmtId="0" fontId="0" fillId="0" borderId="12" xfId="0" applyBorder="1"/>
    <xf numFmtId="0" fontId="0" fillId="0" borderId="35" xfId="0" applyBorder="1"/>
    <xf numFmtId="0" fontId="0" fillId="0" borderId="2" xfId="0" applyBorder="1"/>
    <xf numFmtId="0" fontId="0" fillId="0" borderId="36" xfId="0" applyBorder="1"/>
    <xf numFmtId="0" fontId="0" fillId="0" borderId="50" xfId="0" applyBorder="1"/>
    <xf numFmtId="3" fontId="0" fillId="0" borderId="43" xfId="0" applyNumberFormat="1" applyBorder="1"/>
    <xf numFmtId="0" fontId="0" fillId="0" borderId="43" xfId="0" applyBorder="1"/>
    <xf numFmtId="3" fontId="0" fillId="0" borderId="40" xfId="0" applyNumberFormat="1" applyBorder="1"/>
    <xf numFmtId="4" fontId="0" fillId="0" borderId="25" xfId="0" applyNumberFormat="1" applyBorder="1"/>
    <xf numFmtId="3" fontId="0" fillId="15" borderId="43" xfId="0" applyNumberFormat="1" applyFill="1" applyBorder="1"/>
    <xf numFmtId="0" fontId="1" fillId="0" borderId="14" xfId="0" applyFont="1" applyBorder="1"/>
    <xf numFmtId="0" fontId="0" fillId="10" borderId="44" xfId="0" applyFill="1" applyBorder="1"/>
    <xf numFmtId="0" fontId="0" fillId="10" borderId="0" xfId="0" applyFill="1"/>
    <xf numFmtId="3" fontId="0" fillId="14" borderId="21" xfId="0" applyNumberFormat="1" applyFill="1" applyBorder="1"/>
    <xf numFmtId="3" fontId="0" fillId="0" borderId="52" xfId="0" applyNumberFormat="1" applyBorder="1"/>
    <xf numFmtId="0" fontId="0" fillId="10" borderId="53" xfId="0" applyFill="1" applyBorder="1"/>
    <xf numFmtId="0" fontId="0" fillId="10" borderId="33" xfId="0" applyFill="1" applyBorder="1"/>
    <xf numFmtId="0" fontId="0" fillId="10" borderId="54" xfId="0" applyFill="1" applyBorder="1"/>
    <xf numFmtId="0" fontId="0" fillId="10" borderId="31" xfId="0" applyFill="1" applyBorder="1"/>
    <xf numFmtId="0" fontId="0" fillId="10" borderId="55" xfId="0" applyFill="1" applyBorder="1"/>
    <xf numFmtId="0" fontId="0" fillId="10" borderId="52" xfId="0" applyFill="1" applyBorder="1"/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" fontId="0" fillId="12" borderId="39" xfId="0" applyNumberFormat="1" applyFill="1" applyBorder="1" applyAlignment="1">
      <alignment horizontal="center"/>
    </xf>
    <xf numFmtId="1" fontId="0" fillId="12" borderId="26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12" borderId="40" xfId="0" applyNumberFormat="1" applyFill="1" applyBorder="1" applyAlignment="1">
      <alignment horizontal="center"/>
    </xf>
    <xf numFmtId="1" fontId="0" fillId="0" borderId="34" xfId="0" applyNumberFormat="1" applyBorder="1"/>
    <xf numFmtId="1" fontId="0" fillId="0" borderId="42" xfId="0" applyNumberFormat="1" applyBorder="1"/>
    <xf numFmtId="166" fontId="0" fillId="0" borderId="36" xfId="0" applyNumberFormat="1" applyBorder="1"/>
    <xf numFmtId="3" fontId="0" fillId="11" borderId="21" xfId="0" applyNumberFormat="1" applyFill="1" applyBorder="1"/>
    <xf numFmtId="166" fontId="0" fillId="0" borderId="48" xfId="0" applyNumberFormat="1" applyBorder="1"/>
    <xf numFmtId="166" fontId="0" fillId="0" borderId="45" xfId="0" applyNumberFormat="1" applyBorder="1"/>
    <xf numFmtId="166" fontId="0" fillId="11" borderId="21" xfId="0" applyNumberFormat="1" applyFill="1" applyBorder="1"/>
    <xf numFmtId="2" fontId="0" fillId="0" borderId="49" xfId="0" applyNumberFormat="1" applyBorder="1"/>
    <xf numFmtId="1" fontId="0" fillId="8" borderId="21" xfId="0" applyNumberFormat="1" applyFill="1" applyBorder="1"/>
    <xf numFmtId="0" fontId="1" fillId="3" borderId="14" xfId="0" applyFont="1" applyFill="1" applyBorder="1"/>
    <xf numFmtId="0" fontId="0" fillId="0" borderId="15" xfId="0" applyBorder="1"/>
    <xf numFmtId="3" fontId="0" fillId="7" borderId="3" xfId="0" applyNumberFormat="1" applyFill="1" applyBorder="1"/>
    <xf numFmtId="167" fontId="0" fillId="0" borderId="1" xfId="3" applyNumberFormat="1" applyFont="1" applyFill="1" applyBorder="1"/>
    <xf numFmtId="0" fontId="14" fillId="0" borderId="0" xfId="0" applyFont="1"/>
    <xf numFmtId="0" fontId="7" fillId="0" borderId="0" xfId="0" quotePrefix="1" applyFont="1"/>
    <xf numFmtId="0" fontId="0" fillId="3" borderId="0" xfId="0" applyFill="1"/>
    <xf numFmtId="0" fontId="14" fillId="3" borderId="0" xfId="0" applyFont="1" applyFill="1"/>
    <xf numFmtId="0" fontId="7" fillId="3" borderId="0" xfId="0" quotePrefix="1" applyFont="1" applyFill="1"/>
    <xf numFmtId="0" fontId="14" fillId="3" borderId="2" xfId="0" applyFont="1" applyFill="1" applyBorder="1"/>
    <xf numFmtId="0" fontId="14" fillId="3" borderId="4" xfId="0" applyFont="1" applyFill="1" applyBorder="1"/>
    <xf numFmtId="0" fontId="14" fillId="3" borderId="3" xfId="0" applyFont="1" applyFill="1" applyBorder="1"/>
    <xf numFmtId="0" fontId="14" fillId="3" borderId="2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4" fillId="3" borderId="1" xfId="0" applyFont="1" applyFill="1" applyBorder="1"/>
    <xf numFmtId="3" fontId="14" fillId="3" borderId="1" xfId="0" applyNumberFormat="1" applyFont="1" applyFill="1" applyBorder="1"/>
    <xf numFmtId="1" fontId="14" fillId="3" borderId="1" xfId="0" applyNumberFormat="1" applyFont="1" applyFill="1" applyBorder="1"/>
    <xf numFmtId="9" fontId="0" fillId="3" borderId="1" xfId="6" applyFont="1" applyFill="1" applyBorder="1"/>
    <xf numFmtId="0" fontId="1" fillId="3" borderId="1" xfId="0" applyFont="1" applyFill="1" applyBorder="1"/>
    <xf numFmtId="166" fontId="14" fillId="17" borderId="1" xfId="0" applyNumberFormat="1" applyFont="1" applyFill="1" applyBorder="1"/>
    <xf numFmtId="166" fontId="14" fillId="3" borderId="1" xfId="0" applyNumberFormat="1" applyFont="1" applyFill="1" applyBorder="1"/>
    <xf numFmtId="0" fontId="21" fillId="3" borderId="1" xfId="0" applyFont="1" applyFill="1" applyBorder="1" applyAlignment="1">
      <alignment horizontal="center"/>
    </xf>
    <xf numFmtId="0" fontId="0" fillId="3" borderId="2" xfId="0" applyFill="1" applyBorder="1"/>
    <xf numFmtId="3" fontId="14" fillId="3" borderId="1" xfId="3" applyNumberFormat="1" applyFont="1" applyFill="1" applyBorder="1" applyAlignment="1"/>
    <xf numFmtId="3" fontId="0" fillId="3" borderId="1" xfId="3" applyNumberFormat="1" applyFont="1" applyFill="1" applyBorder="1"/>
    <xf numFmtId="1" fontId="0" fillId="3" borderId="1" xfId="0" applyNumberFormat="1" applyFill="1" applyBorder="1"/>
    <xf numFmtId="9" fontId="0" fillId="12" borderId="1" xfId="6" applyFont="1" applyFill="1" applyBorder="1"/>
    <xf numFmtId="3" fontId="0" fillId="0" borderId="32" xfId="0" applyNumberFormat="1" applyBorder="1"/>
    <xf numFmtId="3" fontId="0" fillId="0" borderId="21" xfId="0" applyNumberFormat="1" applyBorder="1"/>
    <xf numFmtId="1" fontId="0" fillId="0" borderId="35" xfId="0" applyNumberFormat="1" applyBorder="1"/>
    <xf numFmtId="0" fontId="10" fillId="3" borderId="0" xfId="0" applyFont="1" applyFill="1"/>
    <xf numFmtId="0" fontId="1" fillId="10" borderId="46" xfId="5" applyFont="1" applyFill="1" applyBorder="1" applyAlignment="1">
      <alignment horizontal="center" vertical="center" wrapText="1"/>
    </xf>
    <xf numFmtId="0" fontId="1" fillId="10" borderId="41" xfId="5" applyFont="1" applyFill="1" applyBorder="1" applyAlignment="1">
      <alignment horizontal="center" vertical="center" wrapText="1"/>
    </xf>
    <xf numFmtId="0" fontId="1" fillId="10" borderId="45" xfId="5" applyFont="1" applyFill="1" applyBorder="1" applyAlignment="1">
      <alignment horizontal="center" vertical="center" wrapText="1"/>
    </xf>
    <xf numFmtId="0" fontId="1" fillId="10" borderId="30" xfId="5" applyFont="1" applyFill="1" applyBorder="1" applyAlignment="1">
      <alignment horizontal="center" vertical="center" wrapText="1"/>
    </xf>
    <xf numFmtId="0" fontId="1" fillId="10" borderId="58" xfId="5" applyFont="1" applyFill="1" applyBorder="1" applyAlignment="1">
      <alignment horizontal="center" vertical="center" wrapText="1"/>
    </xf>
    <xf numFmtId="0" fontId="6" fillId="0" borderId="23" xfId="5" applyBorder="1"/>
    <xf numFmtId="1" fontId="0" fillId="0" borderId="49" xfId="0" applyNumberFormat="1" applyBorder="1"/>
    <xf numFmtId="0" fontId="6" fillId="0" borderId="59" xfId="5" applyBorder="1"/>
    <xf numFmtId="0" fontId="0" fillId="12" borderId="40" xfId="0" applyFill="1" applyBorder="1"/>
    <xf numFmtId="0" fontId="0" fillId="0" borderId="40" xfId="0" applyBorder="1"/>
    <xf numFmtId="1" fontId="0" fillId="0" borderId="51" xfId="0" applyNumberFormat="1" applyBorder="1"/>
    <xf numFmtId="1" fontId="1" fillId="8" borderId="21" xfId="0" applyNumberFormat="1" applyFont="1" applyFill="1" applyBorder="1"/>
    <xf numFmtId="3" fontId="6" fillId="11" borderId="1" xfId="5" applyNumberFormat="1" applyFill="1" applyBorder="1" applyAlignment="1">
      <alignment horizontal="center"/>
    </xf>
    <xf numFmtId="3" fontId="6" fillId="11" borderId="40" xfId="5" applyNumberFormat="1" applyFill="1" applyBorder="1" applyAlignment="1">
      <alignment horizontal="center"/>
    </xf>
    <xf numFmtId="3" fontId="0" fillId="8" borderId="1" xfId="0" applyNumberFormat="1" applyFill="1" applyBorder="1"/>
    <xf numFmtId="3" fontId="0" fillId="8" borderId="40" xfId="0" applyNumberFormat="1" applyFill="1" applyBorder="1"/>
    <xf numFmtId="0" fontId="13" fillId="0" borderId="0" xfId="0" applyFont="1" applyAlignment="1">
      <alignment wrapText="1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3" xfId="0" applyFont="1" applyBorder="1" applyAlignment="1">
      <alignment wrapText="1"/>
    </xf>
    <xf numFmtId="0" fontId="1" fillId="12" borderId="3" xfId="0" applyFont="1" applyFill="1" applyBorder="1"/>
    <xf numFmtId="0" fontId="1" fillId="0" borderId="2" xfId="0" applyFont="1" applyBorder="1" applyAlignment="1">
      <alignment horizontal="center" wrapText="1"/>
    </xf>
    <xf numFmtId="0" fontId="1" fillId="11" borderId="2" xfId="0" applyFont="1" applyFill="1" applyBorder="1"/>
    <xf numFmtId="0" fontId="0" fillId="8" borderId="1" xfId="0" applyFill="1" applyBorder="1"/>
    <xf numFmtId="3" fontId="4" fillId="8" borderId="3" xfId="1" applyNumberFormat="1" applyFont="1" applyFill="1" applyBorder="1"/>
    <xf numFmtId="3" fontId="14" fillId="8" borderId="56" xfId="0" applyNumberFormat="1" applyFont="1" applyFill="1" applyBorder="1"/>
    <xf numFmtId="0" fontId="1" fillId="0" borderId="4" xfId="0" applyFont="1" applyBorder="1" applyAlignment="1">
      <alignment horizontal="center" wrapText="1"/>
    </xf>
    <xf numFmtId="0" fontId="1" fillId="0" borderId="2" xfId="0" quotePrefix="1" applyFont="1" applyBorder="1" applyAlignment="1">
      <alignment horizontal="center" wrapText="1"/>
    </xf>
    <xf numFmtId="0" fontId="1" fillId="2" borderId="4" xfId="0" applyFont="1" applyFill="1" applyBorder="1"/>
    <xf numFmtId="0" fontId="1" fillId="8" borderId="1" xfId="0" applyFont="1" applyFill="1" applyBorder="1"/>
    <xf numFmtId="0" fontId="0" fillId="0" borderId="0" xfId="0" applyAlignment="1">
      <alignment vertical="top" wrapText="1"/>
    </xf>
    <xf numFmtId="0" fontId="0" fillId="0" borderId="4" xfId="0" applyBorder="1"/>
    <xf numFmtId="0" fontId="0" fillId="0" borderId="3" xfId="0" applyBorder="1"/>
    <xf numFmtId="1" fontId="0" fillId="0" borderId="1" xfId="0" applyNumberFormat="1" applyBorder="1"/>
    <xf numFmtId="10" fontId="0" fillId="7" borderId="1" xfId="0" applyNumberFormat="1" applyFill="1" applyBorder="1"/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justify" vertical="center"/>
    </xf>
    <xf numFmtId="9" fontId="0" fillId="7" borderId="1" xfId="6" quotePrefix="1" applyFont="1" applyFill="1" applyBorder="1"/>
    <xf numFmtId="0" fontId="0" fillId="3" borderId="57" xfId="0" applyFill="1" applyBorder="1"/>
    <xf numFmtId="0" fontId="0" fillId="3" borderId="12" xfId="0" applyFill="1" applyBorder="1"/>
    <xf numFmtId="0" fontId="0" fillId="3" borderId="11" xfId="0" applyFill="1" applyBorder="1"/>
    <xf numFmtId="0" fontId="24" fillId="3" borderId="0" xfId="0" applyFont="1" applyFill="1" applyAlignment="1">
      <alignment horizontal="justify" vertical="center"/>
    </xf>
    <xf numFmtId="0" fontId="25" fillId="3" borderId="0" xfId="0" applyFont="1" applyFill="1" applyAlignment="1">
      <alignment horizontal="justify" vertical="center" wrapText="1"/>
    </xf>
    <xf numFmtId="0" fontId="24" fillId="3" borderId="0" xfId="0" applyFont="1" applyFill="1" applyAlignment="1">
      <alignment horizontal="justify" vertical="center" wrapText="1"/>
    </xf>
    <xf numFmtId="0" fontId="3" fillId="3" borderId="1" xfId="1" quotePrefix="1" applyFill="1" applyBorder="1"/>
    <xf numFmtId="0" fontId="25" fillId="3" borderId="0" xfId="0" applyFont="1" applyFill="1" applyAlignment="1">
      <alignment horizontal="justify" vertical="center"/>
    </xf>
    <xf numFmtId="0" fontId="24" fillId="3" borderId="0" xfId="0" applyFont="1" applyFill="1" applyAlignment="1">
      <alignment vertical="center" wrapText="1"/>
    </xf>
    <xf numFmtId="0" fontId="26" fillId="3" borderId="0" xfId="0" applyFont="1" applyFill="1" applyAlignment="1">
      <alignment vertical="center" wrapText="1"/>
    </xf>
    <xf numFmtId="9" fontId="0" fillId="7" borderId="16" xfId="0" applyNumberFormat="1" applyFill="1" applyBorder="1"/>
    <xf numFmtId="0" fontId="6" fillId="0" borderId="60" xfId="5" applyBorder="1"/>
    <xf numFmtId="3" fontId="0" fillId="0" borderId="61" xfId="0" applyNumberFormat="1" applyBorder="1"/>
    <xf numFmtId="0" fontId="0" fillId="0" borderId="62" xfId="0" applyBorder="1"/>
    <xf numFmtId="0" fontId="17" fillId="0" borderId="0" xfId="0" applyFont="1"/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5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5" fillId="3" borderId="0" xfId="0" applyFont="1" applyFill="1" applyAlignment="1">
      <alignment horizontal="justify" vertical="center"/>
    </xf>
    <xf numFmtId="0" fontId="27" fillId="3" borderId="0" xfId="0" applyFont="1" applyFill="1" applyAlignment="1">
      <alignment vertical="center" wrapText="1"/>
    </xf>
    <xf numFmtId="0" fontId="14" fillId="3" borderId="2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 wrapText="1"/>
    </xf>
    <xf numFmtId="0" fontId="6" fillId="10" borderId="14" xfId="4" applyFill="1" applyBorder="1" applyAlignment="1">
      <alignment horizontal="center"/>
    </xf>
    <xf numFmtId="0" fontId="6" fillId="10" borderId="15" xfId="4" applyFill="1" applyBorder="1" applyAlignment="1">
      <alignment horizontal="center"/>
    </xf>
    <xf numFmtId="0" fontId="6" fillId="10" borderId="16" xfId="4" applyFill="1" applyBorder="1" applyAlignment="1">
      <alignment horizontal="center"/>
    </xf>
    <xf numFmtId="0" fontId="24" fillId="0" borderId="0" xfId="0" applyFont="1" applyBorder="1" applyAlignment="1">
      <alignment horizontal="justify" vertical="center"/>
    </xf>
    <xf numFmtId="0" fontId="25" fillId="0" borderId="0" xfId="0" applyFont="1" applyBorder="1" applyAlignment="1">
      <alignment horizontal="justify" vertical="center"/>
    </xf>
    <xf numFmtId="0" fontId="25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1" fillId="18" borderId="1" xfId="0" applyFont="1" applyFill="1" applyBorder="1"/>
    <xf numFmtId="0" fontId="24" fillId="3" borderId="0" xfId="0" applyFont="1" applyFill="1" applyBorder="1" applyAlignment="1">
      <alignment horizontal="justify" vertical="center"/>
    </xf>
    <xf numFmtId="0" fontId="25" fillId="3" borderId="0" xfId="0" applyFont="1" applyFill="1" applyBorder="1" applyAlignment="1">
      <alignment horizontal="justify" vertical="center"/>
    </xf>
    <xf numFmtId="0" fontId="25" fillId="3" borderId="0" xfId="0" applyFont="1" applyFill="1" applyBorder="1" applyAlignment="1">
      <alignment horizontal="justify" vertical="center" wrapText="1"/>
    </xf>
    <xf numFmtId="0" fontId="24" fillId="3" borderId="0" xfId="0" applyFont="1" applyFill="1" applyBorder="1" applyAlignment="1">
      <alignment horizontal="justify" vertical="center" wrapText="1"/>
    </xf>
    <xf numFmtId="0" fontId="1" fillId="3" borderId="0" xfId="0" applyFont="1" applyFill="1"/>
    <xf numFmtId="0" fontId="0" fillId="0" borderId="0" xfId="0" applyBorder="1"/>
    <xf numFmtId="0" fontId="0" fillId="3" borderId="0" xfId="0" applyFill="1" applyBorder="1"/>
    <xf numFmtId="0" fontId="14" fillId="0" borderId="0" xfId="0" applyFont="1" applyBorder="1"/>
    <xf numFmtId="0" fontId="25" fillId="3" borderId="0" xfId="0" applyFont="1" applyFill="1" applyBorder="1" applyAlignment="1">
      <alignment horizontal="justify" vertical="center"/>
    </xf>
  </cellXfs>
  <cellStyles count="7">
    <cellStyle name="Komma" xfId="3" builtinId="3"/>
    <cellStyle name="Normal" xfId="0" builtinId="0"/>
    <cellStyle name="Normal 11" xfId="5" xr:uid="{06621CB3-CC5E-4AC2-9DBA-0A1658E25D6B}"/>
    <cellStyle name="Normal 13" xfId="4" xr:uid="{B119B090-F1B4-48FF-8B4F-72D8D1A9964E}"/>
    <cellStyle name="Normal 2 2" xfId="1" xr:uid="{249FC369-155E-4020-BA3E-3C7F2FB827D5}"/>
    <cellStyle name="Procent" xfId="6" builtinId="5"/>
    <cellStyle name="Procent 2" xfId="2" xr:uid="{FF90A1B5-F59E-4085-A66C-81B3A3A82D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3</xdr:col>
      <xdr:colOff>160020</xdr:colOff>
      <xdr:row>46</xdr:row>
      <xdr:rowOff>7620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5F6A64F3-F3F9-0C35-EB46-E36D8739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77240"/>
          <a:ext cx="5387340" cy="769620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</xdr:row>
      <xdr:rowOff>0</xdr:rowOff>
    </xdr:from>
    <xdr:to>
      <xdr:col>16</xdr:col>
      <xdr:colOff>1866900</xdr:colOff>
      <xdr:row>38</xdr:row>
      <xdr:rowOff>137160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EA9AEAE3-CC23-30E3-F45C-15F38E54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740" y="1432560"/>
          <a:ext cx="5387340" cy="853440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30480</xdr:colOff>
      <xdr:row>3</xdr:row>
      <xdr:rowOff>205740</xdr:rowOff>
    </xdr:from>
    <xdr:to>
      <xdr:col>16</xdr:col>
      <xdr:colOff>1897380</xdr:colOff>
      <xdr:row>36</xdr:row>
      <xdr:rowOff>114300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6C151199-556B-C378-0C3B-BAB180FBC77D}"/>
            </a:ext>
          </a:extLst>
        </xdr:cNvPr>
        <xdr:cNvSpPr>
          <a:spLocks noChangeAspect="1" noChangeArrowheads="1"/>
        </xdr:cNvSpPr>
      </xdr:nvSpPr>
      <xdr:spPr bwMode="auto">
        <a:xfrm>
          <a:off x="10523220" y="1043940"/>
          <a:ext cx="5387340" cy="853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14</xdr:col>
      <xdr:colOff>2080260</xdr:colOff>
      <xdr:row>25</xdr:row>
      <xdr:rowOff>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6260224-D834-23A3-4353-559FDFC5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840" y="327660"/>
          <a:ext cx="5387340" cy="490728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0</xdr:row>
      <xdr:rowOff>320040</xdr:rowOff>
    </xdr:from>
    <xdr:to>
      <xdr:col>24</xdr:col>
      <xdr:colOff>510540</xdr:colOff>
      <xdr:row>27</xdr:row>
      <xdr:rowOff>198120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B8A58A2-B1D9-6324-ABF2-22C3502B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1720" y="320040"/>
          <a:ext cx="5387340" cy="5532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26</xdr:row>
      <xdr:rowOff>167640</xdr:rowOff>
    </xdr:from>
    <xdr:to>
      <xdr:col>14</xdr:col>
      <xdr:colOff>2118360</xdr:colOff>
      <xdr:row>40</xdr:row>
      <xdr:rowOff>464820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2611AEC-AFEE-7791-F82B-9FC40D21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5585460"/>
          <a:ext cx="5387340" cy="313944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14</xdr:col>
      <xdr:colOff>2080260</xdr:colOff>
      <xdr:row>64</xdr:row>
      <xdr:rowOff>160020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EEA9B995-4EB0-9B82-2330-59A691DF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840" y="9029700"/>
          <a:ext cx="5387340" cy="441960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1150620</xdr:colOff>
      <xdr:row>30</xdr:row>
      <xdr:rowOff>15240</xdr:rowOff>
    </xdr:from>
    <xdr:to>
      <xdr:col>8</xdr:col>
      <xdr:colOff>655320</xdr:colOff>
      <xdr:row>46</xdr:row>
      <xdr:rowOff>68580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0B5C3EA-716F-972F-91B8-97411467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" y="7551420"/>
          <a:ext cx="5387340" cy="297942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601980</xdr:colOff>
      <xdr:row>11</xdr:row>
      <xdr:rowOff>22860</xdr:rowOff>
    </xdr:from>
    <xdr:to>
      <xdr:col>12</xdr:col>
      <xdr:colOff>45720</xdr:colOff>
      <xdr:row>46</xdr:row>
      <xdr:rowOff>60960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3948A9F-6688-CC62-0732-8757817E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2613660"/>
          <a:ext cx="5387340" cy="790956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</xdr:colOff>
      <xdr:row>3</xdr:row>
      <xdr:rowOff>0</xdr:rowOff>
    </xdr:from>
    <xdr:to>
      <xdr:col>12</xdr:col>
      <xdr:colOff>60960</xdr:colOff>
      <xdr:row>8</xdr:row>
      <xdr:rowOff>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39115F8A-58FE-C34E-ADA4-4DC74C9C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594360"/>
          <a:ext cx="5387340" cy="1402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8</xdr:col>
      <xdr:colOff>624840</xdr:colOff>
      <xdr:row>36</xdr:row>
      <xdr:rowOff>76200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B1C7269F-DA98-AFB5-3B3E-E28FA671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14800"/>
          <a:ext cx="5387340" cy="263652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4</xdr:col>
      <xdr:colOff>708660</xdr:colOff>
      <xdr:row>57</xdr:row>
      <xdr:rowOff>60960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9122CA0-3A0B-CEE2-B8B1-946E03A7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73040"/>
          <a:ext cx="5387340" cy="855726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5</xdr:col>
      <xdr:colOff>236220</xdr:colOff>
      <xdr:row>97</xdr:row>
      <xdr:rowOff>121920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7494EA9-9ACC-F8C6-C2BB-95EE6ACE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9608820"/>
          <a:ext cx="5387340" cy="853440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7</xdr:col>
      <xdr:colOff>472440</xdr:colOff>
      <xdr:row>20</xdr:row>
      <xdr:rowOff>251460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4A3DBC80-E1AB-FE9D-A5E9-B68DD01A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69920"/>
          <a:ext cx="5387340" cy="800100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462642</xdr:colOff>
      <xdr:row>21</xdr:row>
      <xdr:rowOff>200025</xdr:rowOff>
    </xdr:from>
    <xdr:to>
      <xdr:col>9</xdr:col>
      <xdr:colOff>462642</xdr:colOff>
      <xdr:row>23</xdr:row>
      <xdr:rowOff>167368</xdr:rowOff>
    </xdr:to>
    <xdr:cxnSp macro="">
      <xdr:nvCxnSpPr>
        <xdr:cNvPr id="20" name="Lige pilforbindelse 19">
          <a:extLst>
            <a:ext uri="{FF2B5EF4-FFF2-40B4-BE49-F238E27FC236}">
              <a16:creationId xmlns:a16="http://schemas.microsoft.com/office/drawing/2014/main" id="{EFC977B3-AF8F-434D-B128-B1A0196DF402}"/>
            </a:ext>
          </a:extLst>
        </xdr:cNvPr>
        <xdr:cNvCxnSpPr/>
      </xdr:nvCxnSpPr>
      <xdr:spPr>
        <a:xfrm flipV="1">
          <a:off x="13332822" y="3499485"/>
          <a:ext cx="0" cy="3483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421823</xdr:colOff>
      <xdr:row>22</xdr:row>
      <xdr:rowOff>23133</xdr:rowOff>
    </xdr:from>
    <xdr:to>
      <xdr:col>10</xdr:col>
      <xdr:colOff>431347</xdr:colOff>
      <xdr:row>24</xdr:row>
      <xdr:rowOff>4083</xdr:rowOff>
    </xdr:to>
    <xdr:cxnSp macro="">
      <xdr:nvCxnSpPr>
        <xdr:cNvPr id="21" name="Lige pilforbindelse 20">
          <a:extLst>
            <a:ext uri="{FF2B5EF4-FFF2-40B4-BE49-F238E27FC236}">
              <a16:creationId xmlns:a16="http://schemas.microsoft.com/office/drawing/2014/main" id="{CDA7D49F-A28A-4568-ACF1-AF419057E761}"/>
            </a:ext>
          </a:extLst>
        </xdr:cNvPr>
        <xdr:cNvCxnSpPr/>
      </xdr:nvCxnSpPr>
      <xdr:spPr>
        <a:xfrm flipH="1" flipV="1">
          <a:off x="14244503" y="3520713"/>
          <a:ext cx="9524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572861</xdr:colOff>
      <xdr:row>22</xdr:row>
      <xdr:rowOff>23132</xdr:rowOff>
    </xdr:from>
    <xdr:to>
      <xdr:col>4</xdr:col>
      <xdr:colOff>572861</xdr:colOff>
      <xdr:row>24</xdr:row>
      <xdr:rowOff>4082</xdr:rowOff>
    </xdr:to>
    <xdr:cxnSp macro="">
      <xdr:nvCxnSpPr>
        <xdr:cNvPr id="22" name="Lige pilforbindelse 21">
          <a:extLst>
            <a:ext uri="{FF2B5EF4-FFF2-40B4-BE49-F238E27FC236}">
              <a16:creationId xmlns:a16="http://schemas.microsoft.com/office/drawing/2014/main" id="{AAF8B39F-CA11-490B-BFD2-9ECA562E4022}"/>
            </a:ext>
          </a:extLst>
        </xdr:cNvPr>
        <xdr:cNvCxnSpPr/>
      </xdr:nvCxnSpPr>
      <xdr:spPr>
        <a:xfrm flipV="1">
          <a:off x="7888061" y="3520712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22</xdr:row>
      <xdr:rowOff>27215</xdr:rowOff>
    </xdr:from>
    <xdr:to>
      <xdr:col>6</xdr:col>
      <xdr:colOff>571501</xdr:colOff>
      <xdr:row>24</xdr:row>
      <xdr:rowOff>8165</xdr:rowOff>
    </xdr:to>
    <xdr:cxnSp macro="">
      <xdr:nvCxnSpPr>
        <xdr:cNvPr id="23" name="Lige pilforbindelse 22">
          <a:extLst>
            <a:ext uri="{FF2B5EF4-FFF2-40B4-BE49-F238E27FC236}">
              <a16:creationId xmlns:a16="http://schemas.microsoft.com/office/drawing/2014/main" id="{4C0CD914-7E31-4C99-8A16-E9719031ED46}"/>
            </a:ext>
          </a:extLst>
        </xdr:cNvPr>
        <xdr:cNvCxnSpPr/>
      </xdr:nvCxnSpPr>
      <xdr:spPr>
        <a:xfrm flipV="1">
          <a:off x="10553701" y="3524795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408213</xdr:colOff>
      <xdr:row>22</xdr:row>
      <xdr:rowOff>28848</xdr:rowOff>
    </xdr:from>
    <xdr:to>
      <xdr:col>8</xdr:col>
      <xdr:colOff>408213</xdr:colOff>
      <xdr:row>24</xdr:row>
      <xdr:rowOff>2178</xdr:rowOff>
    </xdr:to>
    <xdr:cxnSp macro="">
      <xdr:nvCxnSpPr>
        <xdr:cNvPr id="24" name="Lige pilforbindelse 23">
          <a:extLst>
            <a:ext uri="{FF2B5EF4-FFF2-40B4-BE49-F238E27FC236}">
              <a16:creationId xmlns:a16="http://schemas.microsoft.com/office/drawing/2014/main" id="{5FF823CD-FB74-477F-BCD0-E116702E00C1}"/>
            </a:ext>
          </a:extLst>
        </xdr:cNvPr>
        <xdr:cNvCxnSpPr/>
      </xdr:nvCxnSpPr>
      <xdr:spPr>
        <a:xfrm flipV="1">
          <a:off x="12310653" y="3526428"/>
          <a:ext cx="0" cy="3390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870858</xdr:colOff>
      <xdr:row>22</xdr:row>
      <xdr:rowOff>27214</xdr:rowOff>
    </xdr:from>
    <xdr:to>
      <xdr:col>2</xdr:col>
      <xdr:colOff>870858</xdr:colOff>
      <xdr:row>24</xdr:row>
      <xdr:rowOff>8164</xdr:rowOff>
    </xdr:to>
    <xdr:cxnSp macro="">
      <xdr:nvCxnSpPr>
        <xdr:cNvPr id="25" name="Lige pilforbindelse 24">
          <a:extLst>
            <a:ext uri="{FF2B5EF4-FFF2-40B4-BE49-F238E27FC236}">
              <a16:creationId xmlns:a16="http://schemas.microsoft.com/office/drawing/2014/main" id="{E00689BC-FFC0-4F08-A1F6-315D084D8FE5}"/>
            </a:ext>
          </a:extLst>
        </xdr:cNvPr>
        <xdr:cNvCxnSpPr/>
      </xdr:nvCxnSpPr>
      <xdr:spPr>
        <a:xfrm flipV="1">
          <a:off x="4688478" y="3524794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462642</xdr:colOff>
      <xdr:row>21</xdr:row>
      <xdr:rowOff>200025</xdr:rowOff>
    </xdr:from>
    <xdr:to>
      <xdr:col>9</xdr:col>
      <xdr:colOff>462642</xdr:colOff>
      <xdr:row>23</xdr:row>
      <xdr:rowOff>167368</xdr:rowOff>
    </xdr:to>
    <xdr:cxnSp macro="">
      <xdr:nvCxnSpPr>
        <xdr:cNvPr id="26" name="Lige pilforbindelse 25">
          <a:extLst>
            <a:ext uri="{FF2B5EF4-FFF2-40B4-BE49-F238E27FC236}">
              <a16:creationId xmlns:a16="http://schemas.microsoft.com/office/drawing/2014/main" id="{46DF7E34-D617-41AC-A470-E267D913C563}"/>
            </a:ext>
          </a:extLst>
        </xdr:cNvPr>
        <xdr:cNvCxnSpPr/>
      </xdr:nvCxnSpPr>
      <xdr:spPr>
        <a:xfrm flipV="1">
          <a:off x="13332822" y="3499485"/>
          <a:ext cx="0" cy="3483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421823</xdr:colOff>
      <xdr:row>22</xdr:row>
      <xdr:rowOff>23133</xdr:rowOff>
    </xdr:from>
    <xdr:to>
      <xdr:col>10</xdr:col>
      <xdr:colOff>431347</xdr:colOff>
      <xdr:row>24</xdr:row>
      <xdr:rowOff>4083</xdr:rowOff>
    </xdr:to>
    <xdr:cxnSp macro="">
      <xdr:nvCxnSpPr>
        <xdr:cNvPr id="27" name="Lige pilforbindelse 26">
          <a:extLst>
            <a:ext uri="{FF2B5EF4-FFF2-40B4-BE49-F238E27FC236}">
              <a16:creationId xmlns:a16="http://schemas.microsoft.com/office/drawing/2014/main" id="{849DD12E-9276-414D-BF26-B3E2C0080351}"/>
            </a:ext>
          </a:extLst>
        </xdr:cNvPr>
        <xdr:cNvCxnSpPr/>
      </xdr:nvCxnSpPr>
      <xdr:spPr>
        <a:xfrm flipH="1" flipV="1">
          <a:off x="14244503" y="3520713"/>
          <a:ext cx="9524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572861</xdr:colOff>
      <xdr:row>22</xdr:row>
      <xdr:rowOff>23132</xdr:rowOff>
    </xdr:from>
    <xdr:to>
      <xdr:col>4</xdr:col>
      <xdr:colOff>572861</xdr:colOff>
      <xdr:row>24</xdr:row>
      <xdr:rowOff>4082</xdr:rowOff>
    </xdr:to>
    <xdr:cxnSp macro="">
      <xdr:nvCxnSpPr>
        <xdr:cNvPr id="28" name="Lige pilforbindelse 27">
          <a:extLst>
            <a:ext uri="{FF2B5EF4-FFF2-40B4-BE49-F238E27FC236}">
              <a16:creationId xmlns:a16="http://schemas.microsoft.com/office/drawing/2014/main" id="{F82C70D7-323B-46D2-ADCD-D6B0D1A3C784}"/>
            </a:ext>
          </a:extLst>
        </xdr:cNvPr>
        <xdr:cNvCxnSpPr/>
      </xdr:nvCxnSpPr>
      <xdr:spPr>
        <a:xfrm flipV="1">
          <a:off x="7888061" y="3520712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22</xdr:row>
      <xdr:rowOff>27215</xdr:rowOff>
    </xdr:from>
    <xdr:to>
      <xdr:col>6</xdr:col>
      <xdr:colOff>571501</xdr:colOff>
      <xdr:row>24</xdr:row>
      <xdr:rowOff>8165</xdr:rowOff>
    </xdr:to>
    <xdr:cxnSp macro="">
      <xdr:nvCxnSpPr>
        <xdr:cNvPr id="29" name="Lige pilforbindelse 28">
          <a:extLst>
            <a:ext uri="{FF2B5EF4-FFF2-40B4-BE49-F238E27FC236}">
              <a16:creationId xmlns:a16="http://schemas.microsoft.com/office/drawing/2014/main" id="{0DEACCC6-EE90-40EE-BE27-5CE00F7EA972}"/>
            </a:ext>
          </a:extLst>
        </xdr:cNvPr>
        <xdr:cNvCxnSpPr/>
      </xdr:nvCxnSpPr>
      <xdr:spPr>
        <a:xfrm flipV="1">
          <a:off x="10553701" y="3524795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408213</xdr:colOff>
      <xdr:row>22</xdr:row>
      <xdr:rowOff>28848</xdr:rowOff>
    </xdr:from>
    <xdr:to>
      <xdr:col>8</xdr:col>
      <xdr:colOff>408213</xdr:colOff>
      <xdr:row>24</xdr:row>
      <xdr:rowOff>2178</xdr:rowOff>
    </xdr:to>
    <xdr:cxnSp macro="">
      <xdr:nvCxnSpPr>
        <xdr:cNvPr id="30" name="Lige pilforbindelse 29">
          <a:extLst>
            <a:ext uri="{FF2B5EF4-FFF2-40B4-BE49-F238E27FC236}">
              <a16:creationId xmlns:a16="http://schemas.microsoft.com/office/drawing/2014/main" id="{2756BA98-BA79-4B09-9926-F38114C174DB}"/>
            </a:ext>
          </a:extLst>
        </xdr:cNvPr>
        <xdr:cNvCxnSpPr/>
      </xdr:nvCxnSpPr>
      <xdr:spPr>
        <a:xfrm flipV="1">
          <a:off x="12310653" y="3526428"/>
          <a:ext cx="0" cy="3390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870858</xdr:colOff>
      <xdr:row>22</xdr:row>
      <xdr:rowOff>27214</xdr:rowOff>
    </xdr:from>
    <xdr:to>
      <xdr:col>2</xdr:col>
      <xdr:colOff>870858</xdr:colOff>
      <xdr:row>24</xdr:row>
      <xdr:rowOff>8164</xdr:rowOff>
    </xdr:to>
    <xdr:cxnSp macro="">
      <xdr:nvCxnSpPr>
        <xdr:cNvPr id="31" name="Lige pilforbindelse 30">
          <a:extLst>
            <a:ext uri="{FF2B5EF4-FFF2-40B4-BE49-F238E27FC236}">
              <a16:creationId xmlns:a16="http://schemas.microsoft.com/office/drawing/2014/main" id="{0F297B3D-7A15-4D40-8C7B-BDA58AA4302A}"/>
            </a:ext>
          </a:extLst>
        </xdr:cNvPr>
        <xdr:cNvCxnSpPr/>
      </xdr:nvCxnSpPr>
      <xdr:spPr>
        <a:xfrm flipV="1">
          <a:off x="4688478" y="3524794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462642</xdr:colOff>
      <xdr:row>21</xdr:row>
      <xdr:rowOff>200025</xdr:rowOff>
    </xdr:from>
    <xdr:to>
      <xdr:col>9</xdr:col>
      <xdr:colOff>462642</xdr:colOff>
      <xdr:row>23</xdr:row>
      <xdr:rowOff>167368</xdr:rowOff>
    </xdr:to>
    <xdr:cxnSp macro="">
      <xdr:nvCxnSpPr>
        <xdr:cNvPr id="32" name="Lige pilforbindelse 31">
          <a:extLst>
            <a:ext uri="{FF2B5EF4-FFF2-40B4-BE49-F238E27FC236}">
              <a16:creationId xmlns:a16="http://schemas.microsoft.com/office/drawing/2014/main" id="{E13B7AC2-EACE-4002-BCE5-3B129957BFD8}"/>
            </a:ext>
          </a:extLst>
        </xdr:cNvPr>
        <xdr:cNvCxnSpPr/>
      </xdr:nvCxnSpPr>
      <xdr:spPr>
        <a:xfrm flipV="1">
          <a:off x="13332822" y="3499485"/>
          <a:ext cx="0" cy="3483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421823</xdr:colOff>
      <xdr:row>22</xdr:row>
      <xdr:rowOff>23133</xdr:rowOff>
    </xdr:from>
    <xdr:to>
      <xdr:col>10</xdr:col>
      <xdr:colOff>431347</xdr:colOff>
      <xdr:row>24</xdr:row>
      <xdr:rowOff>4083</xdr:rowOff>
    </xdr:to>
    <xdr:cxnSp macro="">
      <xdr:nvCxnSpPr>
        <xdr:cNvPr id="33" name="Lige pilforbindelse 32">
          <a:extLst>
            <a:ext uri="{FF2B5EF4-FFF2-40B4-BE49-F238E27FC236}">
              <a16:creationId xmlns:a16="http://schemas.microsoft.com/office/drawing/2014/main" id="{E638DAA6-A565-426A-ADFC-A438AF013162}"/>
            </a:ext>
          </a:extLst>
        </xdr:cNvPr>
        <xdr:cNvCxnSpPr/>
      </xdr:nvCxnSpPr>
      <xdr:spPr>
        <a:xfrm flipH="1" flipV="1">
          <a:off x="14244503" y="3520713"/>
          <a:ext cx="9524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572861</xdr:colOff>
      <xdr:row>22</xdr:row>
      <xdr:rowOff>23132</xdr:rowOff>
    </xdr:from>
    <xdr:to>
      <xdr:col>4</xdr:col>
      <xdr:colOff>572861</xdr:colOff>
      <xdr:row>24</xdr:row>
      <xdr:rowOff>4082</xdr:rowOff>
    </xdr:to>
    <xdr:cxnSp macro="">
      <xdr:nvCxnSpPr>
        <xdr:cNvPr id="34" name="Lige pilforbindelse 33">
          <a:extLst>
            <a:ext uri="{FF2B5EF4-FFF2-40B4-BE49-F238E27FC236}">
              <a16:creationId xmlns:a16="http://schemas.microsoft.com/office/drawing/2014/main" id="{B83A41EA-E28D-4815-81CD-2BB247554474}"/>
            </a:ext>
          </a:extLst>
        </xdr:cNvPr>
        <xdr:cNvCxnSpPr/>
      </xdr:nvCxnSpPr>
      <xdr:spPr>
        <a:xfrm flipV="1">
          <a:off x="7888061" y="3520712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22</xdr:row>
      <xdr:rowOff>27215</xdr:rowOff>
    </xdr:from>
    <xdr:to>
      <xdr:col>6</xdr:col>
      <xdr:colOff>571501</xdr:colOff>
      <xdr:row>24</xdr:row>
      <xdr:rowOff>8165</xdr:rowOff>
    </xdr:to>
    <xdr:cxnSp macro="">
      <xdr:nvCxnSpPr>
        <xdr:cNvPr id="35" name="Lige pilforbindelse 34">
          <a:extLst>
            <a:ext uri="{FF2B5EF4-FFF2-40B4-BE49-F238E27FC236}">
              <a16:creationId xmlns:a16="http://schemas.microsoft.com/office/drawing/2014/main" id="{88DD10E1-2FE2-4DAA-8C2F-61D399D7DAC5}"/>
            </a:ext>
          </a:extLst>
        </xdr:cNvPr>
        <xdr:cNvCxnSpPr/>
      </xdr:nvCxnSpPr>
      <xdr:spPr>
        <a:xfrm flipV="1">
          <a:off x="10553701" y="3524795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408213</xdr:colOff>
      <xdr:row>22</xdr:row>
      <xdr:rowOff>28848</xdr:rowOff>
    </xdr:from>
    <xdr:to>
      <xdr:col>8</xdr:col>
      <xdr:colOff>408213</xdr:colOff>
      <xdr:row>24</xdr:row>
      <xdr:rowOff>2178</xdr:rowOff>
    </xdr:to>
    <xdr:cxnSp macro="">
      <xdr:nvCxnSpPr>
        <xdr:cNvPr id="36" name="Lige pilforbindelse 35">
          <a:extLst>
            <a:ext uri="{FF2B5EF4-FFF2-40B4-BE49-F238E27FC236}">
              <a16:creationId xmlns:a16="http://schemas.microsoft.com/office/drawing/2014/main" id="{58F46E7F-A6E8-4D0E-A16E-5A915EE7F213}"/>
            </a:ext>
          </a:extLst>
        </xdr:cNvPr>
        <xdr:cNvCxnSpPr/>
      </xdr:nvCxnSpPr>
      <xdr:spPr>
        <a:xfrm flipV="1">
          <a:off x="12310653" y="3526428"/>
          <a:ext cx="0" cy="3390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870858</xdr:colOff>
      <xdr:row>22</xdr:row>
      <xdr:rowOff>27214</xdr:rowOff>
    </xdr:from>
    <xdr:to>
      <xdr:col>2</xdr:col>
      <xdr:colOff>870858</xdr:colOff>
      <xdr:row>24</xdr:row>
      <xdr:rowOff>8164</xdr:rowOff>
    </xdr:to>
    <xdr:cxnSp macro="">
      <xdr:nvCxnSpPr>
        <xdr:cNvPr id="37" name="Lige pilforbindelse 36">
          <a:extLst>
            <a:ext uri="{FF2B5EF4-FFF2-40B4-BE49-F238E27FC236}">
              <a16:creationId xmlns:a16="http://schemas.microsoft.com/office/drawing/2014/main" id="{8BFE155D-97E2-49E5-B14D-4D5193793C6E}"/>
            </a:ext>
          </a:extLst>
        </xdr:cNvPr>
        <xdr:cNvCxnSpPr/>
      </xdr:nvCxnSpPr>
      <xdr:spPr>
        <a:xfrm flipV="1">
          <a:off x="4688478" y="3524794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365760</xdr:colOff>
      <xdr:row>70</xdr:row>
      <xdr:rowOff>137160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FDD566D-D6F9-68F5-3E86-B097B4F7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31580"/>
          <a:ext cx="5387340" cy="8001000"/>
        </a:xfrm>
        <a:prstGeom prst="rect">
          <a:avLst/>
        </a:prstGeom>
        <a:noFill/>
        <a:ln w="158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94A32-AB38-4131-9468-8BC79107FD3E}">
  <dimension ref="A1:D45"/>
  <sheetViews>
    <sheetView workbookViewId="0">
      <selection activeCell="G25" sqref="G25"/>
    </sheetView>
  </sheetViews>
  <sheetFormatPr defaultRowHeight="14.4" x14ac:dyDescent="0.3"/>
  <cols>
    <col min="2" max="2" width="44.6640625" customWidth="1"/>
    <col min="3" max="3" width="31.5546875" customWidth="1"/>
  </cols>
  <sheetData>
    <row r="1" spans="1:4" ht="18" x14ac:dyDescent="0.35">
      <c r="A1" s="106" t="s">
        <v>50</v>
      </c>
    </row>
    <row r="2" spans="1:4" x14ac:dyDescent="0.3">
      <c r="A2" s="1"/>
      <c r="B2" s="1"/>
      <c r="C2" s="30"/>
    </row>
    <row r="3" spans="1:4" x14ac:dyDescent="0.3">
      <c r="B3" t="s">
        <v>51</v>
      </c>
      <c r="C3" s="30"/>
    </row>
    <row r="4" spans="1:4" x14ac:dyDescent="0.3">
      <c r="B4" s="220"/>
      <c r="C4" s="220"/>
      <c r="D4" s="220"/>
    </row>
    <row r="5" spans="1:4" x14ac:dyDescent="0.3">
      <c r="B5" s="220"/>
      <c r="C5" s="220"/>
      <c r="D5" s="220"/>
    </row>
    <row r="6" spans="1:4" ht="15" x14ac:dyDescent="0.3">
      <c r="A6" s="281"/>
      <c r="B6" s="293"/>
      <c r="C6" s="290"/>
      <c r="D6" s="220"/>
    </row>
    <row r="7" spans="1:4" x14ac:dyDescent="0.3">
      <c r="A7" s="281"/>
      <c r="B7" s="289"/>
      <c r="C7" s="291"/>
      <c r="D7" s="220"/>
    </row>
    <row r="8" spans="1:4" x14ac:dyDescent="0.3">
      <c r="A8" s="281"/>
      <c r="B8" s="289"/>
      <c r="C8" s="291"/>
      <c r="D8" s="220"/>
    </row>
    <row r="9" spans="1:4" x14ac:dyDescent="0.3">
      <c r="A9" s="281"/>
      <c r="B9" s="289"/>
      <c r="C9" s="291"/>
      <c r="D9" s="220"/>
    </row>
    <row r="10" spans="1:4" x14ac:dyDescent="0.3">
      <c r="A10" s="281"/>
      <c r="B10" s="289"/>
      <c r="C10" s="291"/>
      <c r="D10" s="220"/>
    </row>
    <row r="11" spans="1:4" x14ac:dyDescent="0.3">
      <c r="A11" s="281"/>
      <c r="B11" s="289"/>
      <c r="C11" s="291"/>
      <c r="D11" s="220"/>
    </row>
    <row r="12" spans="1:4" x14ac:dyDescent="0.3">
      <c r="A12" s="281"/>
      <c r="B12" s="289"/>
      <c r="C12" s="291"/>
      <c r="D12" s="220"/>
    </row>
    <row r="13" spans="1:4" x14ac:dyDescent="0.3">
      <c r="A13" s="281"/>
      <c r="B13" s="289"/>
      <c r="C13" s="291"/>
      <c r="D13" s="220"/>
    </row>
    <row r="14" spans="1:4" x14ac:dyDescent="0.3">
      <c r="A14" s="281"/>
      <c r="B14" s="289"/>
      <c r="C14" s="291"/>
      <c r="D14" s="220"/>
    </row>
    <row r="15" spans="1:4" x14ac:dyDescent="0.3">
      <c r="A15" s="281"/>
      <c r="B15" s="289"/>
      <c r="C15" s="291"/>
      <c r="D15" s="220"/>
    </row>
    <row r="16" spans="1:4" x14ac:dyDescent="0.3">
      <c r="A16" s="66"/>
      <c r="B16" s="289"/>
      <c r="C16" s="291"/>
      <c r="D16" s="220"/>
    </row>
    <row r="17" spans="2:4" x14ac:dyDescent="0.3">
      <c r="B17" s="220"/>
      <c r="C17" s="220"/>
      <c r="D17" s="220"/>
    </row>
    <row r="18" spans="2:4" x14ac:dyDescent="0.3">
      <c r="B18" s="220"/>
      <c r="C18" s="220"/>
      <c r="D18" s="220"/>
    </row>
    <row r="19" spans="2:4" x14ac:dyDescent="0.3">
      <c r="B19" s="220"/>
      <c r="C19" s="220"/>
      <c r="D19" s="220"/>
    </row>
    <row r="20" spans="2:4" x14ac:dyDescent="0.3">
      <c r="B20" s="220"/>
      <c r="C20" s="220"/>
      <c r="D20" s="220"/>
    </row>
    <row r="21" spans="2:4" x14ac:dyDescent="0.3">
      <c r="B21" s="220"/>
      <c r="C21" s="220"/>
      <c r="D21" s="220"/>
    </row>
    <row r="22" spans="2:4" x14ac:dyDescent="0.3">
      <c r="B22" s="220"/>
      <c r="C22" s="220"/>
      <c r="D22" s="220"/>
    </row>
    <row r="23" spans="2:4" x14ac:dyDescent="0.3">
      <c r="B23" s="220"/>
      <c r="C23" s="220"/>
      <c r="D23" s="220"/>
    </row>
    <row r="24" spans="2:4" x14ac:dyDescent="0.3">
      <c r="B24" s="220"/>
      <c r="C24" s="220"/>
      <c r="D24" s="220"/>
    </row>
    <row r="25" spans="2:4" x14ac:dyDescent="0.3">
      <c r="B25" s="220"/>
      <c r="C25" s="220"/>
      <c r="D25" s="220"/>
    </row>
    <row r="26" spans="2:4" x14ac:dyDescent="0.3">
      <c r="B26" s="220"/>
      <c r="C26" s="220"/>
      <c r="D26" s="220"/>
    </row>
    <row r="27" spans="2:4" x14ac:dyDescent="0.3">
      <c r="B27" s="220"/>
      <c r="C27" s="220"/>
      <c r="D27" s="220"/>
    </row>
    <row r="28" spans="2:4" x14ac:dyDescent="0.3">
      <c r="B28" s="220"/>
      <c r="C28" s="220"/>
      <c r="D28" s="220"/>
    </row>
    <row r="29" spans="2:4" x14ac:dyDescent="0.3">
      <c r="B29" s="220"/>
      <c r="C29" s="220"/>
      <c r="D29" s="220"/>
    </row>
    <row r="30" spans="2:4" x14ac:dyDescent="0.3">
      <c r="B30" s="220"/>
      <c r="C30" s="220"/>
      <c r="D30" s="220"/>
    </row>
    <row r="31" spans="2:4" x14ac:dyDescent="0.3">
      <c r="B31" s="220"/>
      <c r="C31" s="220"/>
      <c r="D31" s="220"/>
    </row>
    <row r="32" spans="2:4" x14ac:dyDescent="0.3">
      <c r="B32" s="220"/>
      <c r="C32" s="220"/>
      <c r="D32" s="220"/>
    </row>
    <row r="33" spans="2:4" x14ac:dyDescent="0.3">
      <c r="B33" s="220"/>
      <c r="C33" s="220"/>
      <c r="D33" s="220"/>
    </row>
    <row r="34" spans="2:4" x14ac:dyDescent="0.3">
      <c r="B34" s="220"/>
      <c r="C34" s="220"/>
      <c r="D34" s="220"/>
    </row>
    <row r="35" spans="2:4" x14ac:dyDescent="0.3">
      <c r="B35" s="220"/>
      <c r="C35" s="220"/>
      <c r="D35" s="220"/>
    </row>
    <row r="36" spans="2:4" x14ac:dyDescent="0.3">
      <c r="B36" s="220"/>
      <c r="C36" s="220"/>
      <c r="D36" s="220"/>
    </row>
    <row r="37" spans="2:4" x14ac:dyDescent="0.3">
      <c r="B37" s="220"/>
      <c r="C37" s="220"/>
      <c r="D37" s="220"/>
    </row>
    <row r="38" spans="2:4" x14ac:dyDescent="0.3">
      <c r="B38" s="220"/>
      <c r="C38" s="220"/>
      <c r="D38" s="220"/>
    </row>
    <row r="39" spans="2:4" x14ac:dyDescent="0.3">
      <c r="B39" s="220"/>
      <c r="C39" s="220"/>
      <c r="D39" s="220"/>
    </row>
    <row r="40" spans="2:4" x14ac:dyDescent="0.3">
      <c r="B40" s="220"/>
      <c r="C40" s="220"/>
      <c r="D40" s="220"/>
    </row>
    <row r="41" spans="2:4" x14ac:dyDescent="0.3">
      <c r="B41" s="220"/>
      <c r="C41" s="220"/>
      <c r="D41" s="220"/>
    </row>
    <row r="42" spans="2:4" x14ac:dyDescent="0.3">
      <c r="B42" s="220"/>
      <c r="C42" s="220"/>
      <c r="D42" s="220"/>
    </row>
    <row r="43" spans="2:4" x14ac:dyDescent="0.3">
      <c r="B43" s="220"/>
      <c r="C43" s="220"/>
      <c r="D43" s="220"/>
    </row>
    <row r="44" spans="2:4" x14ac:dyDescent="0.3">
      <c r="B44" s="220"/>
      <c r="C44" s="220"/>
      <c r="D44" s="220"/>
    </row>
    <row r="45" spans="2:4" x14ac:dyDescent="0.3">
      <c r="B45" s="220"/>
      <c r="C45" s="220"/>
      <c r="D45" s="2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59FFC-9B26-492A-9AE9-FFAB12175F8F}">
  <dimension ref="B1:Z39"/>
  <sheetViews>
    <sheetView topLeftCell="E28" workbookViewId="0">
      <selection activeCell="G52" sqref="G52"/>
    </sheetView>
  </sheetViews>
  <sheetFormatPr defaultRowHeight="14.4" x14ac:dyDescent="0.3"/>
  <cols>
    <col min="2" max="2" width="10.109375" customWidth="1"/>
    <col min="3" max="4" width="14.44140625" customWidth="1"/>
    <col min="6" max="6" width="15.5546875" customWidth="1"/>
    <col min="7" max="7" width="14" bestFit="1" customWidth="1"/>
    <col min="8" max="8" width="11.21875" customWidth="1"/>
    <col min="13" max="13" width="11" customWidth="1"/>
    <col min="16" max="16" width="42.44140625" customWidth="1"/>
    <col min="17" max="17" width="29.6640625" customWidth="1"/>
    <col min="25" max="25" width="9.6640625" customWidth="1"/>
  </cols>
  <sheetData>
    <row r="1" spans="2:26" ht="20.399999999999999" x14ac:dyDescent="0.45">
      <c r="B1" s="106" t="s">
        <v>78</v>
      </c>
    </row>
    <row r="2" spans="2:26" ht="15" thickBot="1" x14ac:dyDescent="0.35"/>
    <row r="3" spans="2:26" ht="30.6" thickBot="1" x14ac:dyDescent="0.4">
      <c r="F3" s="79" t="s">
        <v>81</v>
      </c>
      <c r="G3" s="74">
        <f>+M13+J19+M31</f>
        <v>0</v>
      </c>
    </row>
    <row r="4" spans="2:26" ht="18" x14ac:dyDescent="0.35">
      <c r="B4" s="106" t="s">
        <v>79</v>
      </c>
      <c r="O4" s="220"/>
      <c r="P4" s="220"/>
      <c r="Q4" s="220"/>
    </row>
    <row r="5" spans="2:26" ht="28.95" customHeight="1" x14ac:dyDescent="0.3">
      <c r="B5" s="30"/>
      <c r="C5" s="30"/>
      <c r="D5" s="30"/>
      <c r="F5" s="306" t="s">
        <v>77</v>
      </c>
      <c r="G5" s="307"/>
      <c r="H5" s="307"/>
      <c r="I5" s="307"/>
      <c r="J5" s="307"/>
      <c r="K5" s="307"/>
      <c r="L5" s="307"/>
      <c r="M5" s="308"/>
      <c r="O5" s="289"/>
      <c r="P5" s="290"/>
      <c r="Q5" s="290"/>
    </row>
    <row r="6" spans="2:26" ht="30.6" customHeight="1" x14ac:dyDescent="0.3">
      <c r="B6" s="30"/>
      <c r="F6" s="75" t="s">
        <v>31</v>
      </c>
      <c r="G6" s="43" t="s">
        <v>69</v>
      </c>
      <c r="H6" s="43" t="s">
        <v>70</v>
      </c>
      <c r="I6" s="43" t="s">
        <v>71</v>
      </c>
      <c r="J6" s="43" t="s">
        <v>72</v>
      </c>
      <c r="K6" s="43" t="s">
        <v>73</v>
      </c>
      <c r="L6" s="43" t="s">
        <v>74</v>
      </c>
      <c r="M6" s="43" t="s">
        <v>16</v>
      </c>
      <c r="O6" s="289"/>
      <c r="P6" s="291"/>
      <c r="Q6" s="291"/>
    </row>
    <row r="7" spans="2:26" x14ac:dyDescent="0.3">
      <c r="B7" s="30"/>
      <c r="C7" s="30"/>
      <c r="D7" s="30"/>
      <c r="F7" s="75" t="s">
        <v>64</v>
      </c>
      <c r="G7" s="147"/>
      <c r="H7" s="69"/>
      <c r="I7" s="69"/>
      <c r="J7" s="69"/>
      <c r="K7" s="69"/>
      <c r="L7" s="69"/>
      <c r="M7" s="70"/>
      <c r="O7" s="289"/>
      <c r="P7" s="289"/>
      <c r="Q7" s="291"/>
    </row>
    <row r="8" spans="2:26" x14ac:dyDescent="0.3">
      <c r="B8" s="30"/>
      <c r="C8" s="30"/>
      <c r="D8" s="30"/>
      <c r="F8" s="75" t="s">
        <v>65</v>
      </c>
      <c r="G8" s="147"/>
      <c r="H8" s="69"/>
      <c r="I8" s="69"/>
      <c r="J8" s="69"/>
      <c r="K8" s="69"/>
      <c r="L8" s="69"/>
      <c r="M8" s="70"/>
      <c r="O8" s="289"/>
      <c r="P8" s="289"/>
      <c r="Q8" s="291"/>
    </row>
    <row r="9" spans="2:26" ht="57.6" customHeight="1" x14ac:dyDescent="0.3">
      <c r="F9" s="75" t="s">
        <v>66</v>
      </c>
      <c r="G9" s="147"/>
      <c r="H9" s="69"/>
      <c r="I9" s="69"/>
      <c r="J9" s="69"/>
      <c r="K9" s="69"/>
      <c r="L9" s="69"/>
      <c r="M9" s="70"/>
      <c r="O9" s="289"/>
      <c r="P9" s="289"/>
      <c r="Q9" s="291"/>
    </row>
    <row r="10" spans="2:26" x14ac:dyDescent="0.3">
      <c r="B10" s="30"/>
      <c r="C10" s="30"/>
      <c r="D10" s="30"/>
      <c r="F10" s="75" t="s">
        <v>67</v>
      </c>
      <c r="G10" s="147"/>
      <c r="H10" s="69"/>
      <c r="I10" s="69"/>
      <c r="J10" s="69"/>
      <c r="K10" s="69"/>
      <c r="L10" s="69"/>
      <c r="M10" s="70"/>
      <c r="O10" s="289"/>
      <c r="P10" s="291"/>
      <c r="Q10" s="291"/>
    </row>
    <row r="11" spans="2:26" x14ac:dyDescent="0.3">
      <c r="B11" s="30"/>
      <c r="F11" s="75" t="s">
        <v>68</v>
      </c>
      <c r="G11" s="217">
        <f>SUM(G7:G10)</f>
        <v>0</v>
      </c>
      <c r="H11" s="2">
        <v>0.14000000000000001</v>
      </c>
      <c r="I11" s="2">
        <f>+G11*H11</f>
        <v>0</v>
      </c>
      <c r="J11" s="2">
        <v>0.5</v>
      </c>
      <c r="K11" s="2">
        <f>+I11*J11</f>
        <v>0</v>
      </c>
      <c r="L11" s="2">
        <v>0.73</v>
      </c>
      <c r="M11" s="279">
        <f>+K11*L11</f>
        <v>0</v>
      </c>
      <c r="O11" s="289"/>
      <c r="P11" s="291"/>
      <c r="Q11" s="291"/>
    </row>
    <row r="12" spans="2:26" x14ac:dyDescent="0.3">
      <c r="B12" s="30"/>
      <c r="C12" s="30"/>
      <c r="D12" s="30"/>
      <c r="J12" s="175" t="s">
        <v>75</v>
      </c>
      <c r="K12" s="277"/>
      <c r="L12" s="278"/>
      <c r="M12" s="280">
        <v>0</v>
      </c>
      <c r="O12" s="289"/>
      <c r="P12" s="291"/>
      <c r="Q12" s="291"/>
      <c r="T12" s="276"/>
      <c r="U12" s="276"/>
      <c r="V12" s="276"/>
      <c r="W12" s="276"/>
      <c r="X12" s="276"/>
      <c r="Y12" s="276"/>
      <c r="Z12" s="276"/>
    </row>
    <row r="13" spans="2:26" x14ac:dyDescent="0.3">
      <c r="B13" s="30"/>
      <c r="C13" s="30"/>
      <c r="D13" s="30"/>
      <c r="J13" s="175" t="s">
        <v>76</v>
      </c>
      <c r="K13" s="277"/>
      <c r="L13" s="278"/>
      <c r="M13" s="77">
        <f>+M11*M12</f>
        <v>0</v>
      </c>
      <c r="O13" s="220"/>
      <c r="P13" s="220"/>
      <c r="Q13" s="220"/>
      <c r="T13" s="276"/>
      <c r="U13" s="276"/>
      <c r="V13" s="276"/>
      <c r="W13" s="276"/>
      <c r="X13" s="276"/>
      <c r="Y13" s="276"/>
      <c r="Z13" s="276"/>
    </row>
    <row r="14" spans="2:26" ht="18" x14ac:dyDescent="0.35">
      <c r="B14" s="262" t="s">
        <v>80</v>
      </c>
      <c r="C14" s="30"/>
      <c r="D14" s="30"/>
      <c r="O14" s="220"/>
      <c r="P14" s="220"/>
      <c r="Q14" s="220"/>
    </row>
    <row r="15" spans="2:26" ht="31.95" customHeight="1" x14ac:dyDescent="0.3">
      <c r="H15" s="309" t="s">
        <v>60</v>
      </c>
      <c r="I15" s="309"/>
      <c r="J15" s="309"/>
      <c r="K15" s="310" t="s">
        <v>63</v>
      </c>
      <c r="L15" s="311"/>
      <c r="M15" s="311"/>
      <c r="O15" s="220"/>
      <c r="P15" s="220"/>
      <c r="Q15" s="220"/>
    </row>
    <row r="16" spans="2:26" ht="57.6" customHeight="1" x14ac:dyDescent="0.3">
      <c r="H16" s="42" t="s">
        <v>61</v>
      </c>
      <c r="I16" s="42" t="s">
        <v>62</v>
      </c>
      <c r="J16" s="42" t="s">
        <v>16</v>
      </c>
      <c r="K16" s="310"/>
      <c r="L16" s="311"/>
      <c r="M16" s="311"/>
      <c r="O16" s="220"/>
      <c r="P16" s="220"/>
      <c r="Q16" s="220"/>
    </row>
    <row r="17" spans="2:17" x14ac:dyDescent="0.3">
      <c r="H17" s="39"/>
      <c r="I17" s="2">
        <v>74</v>
      </c>
      <c r="J17" s="279">
        <f>+H17*I17</f>
        <v>0</v>
      </c>
      <c r="K17" s="310"/>
      <c r="L17" s="311"/>
      <c r="M17" s="311"/>
      <c r="O17" s="220"/>
      <c r="P17" s="220"/>
      <c r="Q17" s="220"/>
    </row>
    <row r="18" spans="2:17" x14ac:dyDescent="0.3">
      <c r="H18" s="286"/>
      <c r="I18" s="220"/>
      <c r="J18" s="285">
        <v>1</v>
      </c>
      <c r="O18" s="220"/>
      <c r="P18" s="220"/>
      <c r="Q18" s="220"/>
    </row>
    <row r="19" spans="2:17" x14ac:dyDescent="0.3">
      <c r="H19" s="287"/>
      <c r="I19" s="288"/>
      <c r="J19" s="77">
        <f>+J17*J18</f>
        <v>0</v>
      </c>
      <c r="O19" s="220"/>
      <c r="P19" s="220"/>
      <c r="Q19" s="220"/>
    </row>
    <row r="20" spans="2:17" ht="18" x14ac:dyDescent="0.35">
      <c r="B20" s="106" t="s">
        <v>59</v>
      </c>
      <c r="O20" s="220"/>
      <c r="P20" s="220"/>
      <c r="Q20" s="220"/>
    </row>
    <row r="21" spans="2:17" x14ac:dyDescent="0.3">
      <c r="O21" s="220"/>
      <c r="P21" s="220"/>
      <c r="Q21" s="220"/>
    </row>
    <row r="22" spans="2:17" x14ac:dyDescent="0.3">
      <c r="O22" s="220"/>
      <c r="P22" s="220"/>
      <c r="Q22" s="220"/>
    </row>
    <row r="23" spans="2:17" x14ac:dyDescent="0.3">
      <c r="F23" s="306" t="s">
        <v>59</v>
      </c>
      <c r="G23" s="307"/>
      <c r="H23" s="307"/>
      <c r="I23" s="307"/>
      <c r="J23" s="307"/>
      <c r="K23" s="307"/>
      <c r="L23" s="307"/>
      <c r="M23" s="308"/>
      <c r="O23" s="220"/>
      <c r="P23" s="220"/>
      <c r="Q23" s="220"/>
    </row>
    <row r="24" spans="2:17" ht="73.2" x14ac:dyDescent="0.3">
      <c r="F24" s="42" t="s">
        <v>58</v>
      </c>
      <c r="G24" s="42" t="s">
        <v>52</v>
      </c>
      <c r="H24" s="42" t="s">
        <v>53</v>
      </c>
      <c r="I24" s="42" t="s">
        <v>54</v>
      </c>
      <c r="J24" s="41" t="s">
        <v>55</v>
      </c>
      <c r="K24" s="42" t="s">
        <v>56</v>
      </c>
      <c r="L24" s="42" t="s">
        <v>57</v>
      </c>
      <c r="M24" s="42" t="s">
        <v>16</v>
      </c>
      <c r="O24" s="220"/>
      <c r="P24" s="220"/>
      <c r="Q24" s="220"/>
    </row>
    <row r="25" spans="2:17" x14ac:dyDescent="0.3">
      <c r="F25" s="39" t="s">
        <v>43</v>
      </c>
      <c r="G25" s="39" t="s">
        <v>44</v>
      </c>
      <c r="H25" s="39" t="s">
        <v>45</v>
      </c>
      <c r="I25" s="38"/>
      <c r="J25" s="38"/>
      <c r="K25" s="38"/>
      <c r="L25" s="38"/>
      <c r="M25" s="38"/>
      <c r="O25" s="220"/>
      <c r="P25" s="220"/>
      <c r="Q25" s="220"/>
    </row>
    <row r="26" spans="2:17" x14ac:dyDescent="0.3">
      <c r="F26" s="39" t="s">
        <v>17</v>
      </c>
      <c r="G26" s="39" t="s">
        <v>18</v>
      </c>
      <c r="H26" s="39" t="s">
        <v>19</v>
      </c>
      <c r="I26" s="38"/>
      <c r="J26" s="38"/>
      <c r="K26" s="38"/>
      <c r="L26" s="38"/>
      <c r="M26" s="38"/>
      <c r="O26" s="220"/>
      <c r="P26" s="220"/>
      <c r="Q26" s="220"/>
    </row>
    <row r="27" spans="2:17" x14ac:dyDescent="0.3">
      <c r="F27" s="39" t="s">
        <v>20</v>
      </c>
      <c r="G27" s="38"/>
      <c r="H27" s="38"/>
      <c r="I27" s="38"/>
      <c r="J27" s="38"/>
      <c r="K27" s="38"/>
      <c r="L27" s="38"/>
      <c r="M27" s="38"/>
      <c r="O27" s="220"/>
      <c r="P27" s="220"/>
      <c r="Q27" s="220"/>
    </row>
    <row r="28" spans="2:17" x14ac:dyDescent="0.3">
      <c r="F28" s="39" t="s">
        <v>21</v>
      </c>
      <c r="G28" s="38"/>
      <c r="H28" s="38"/>
      <c r="I28" s="38"/>
      <c r="J28" s="38"/>
      <c r="K28" s="38"/>
      <c r="L28" s="38"/>
      <c r="M28" s="38"/>
      <c r="O28" s="220"/>
      <c r="P28" s="220"/>
      <c r="Q28" s="220"/>
    </row>
    <row r="29" spans="2:17" x14ac:dyDescent="0.3">
      <c r="F29" s="2">
        <f>SUM(F25:F28)</f>
        <v>0</v>
      </c>
      <c r="G29" s="2">
        <f>SUM(G25:G28)</f>
        <v>0</v>
      </c>
      <c r="H29" s="2">
        <f>SUM(H25:H28)</f>
        <v>0</v>
      </c>
      <c r="I29" s="2">
        <f>SUM(F29:H29)</f>
        <v>0</v>
      </c>
      <c r="J29" s="2">
        <v>0.17499999999999999</v>
      </c>
      <c r="K29" s="2">
        <f>+I29/J29</f>
        <v>0</v>
      </c>
      <c r="L29" s="78">
        <f>44/(44+18)</f>
        <v>0.70967741935483875</v>
      </c>
      <c r="M29" s="240">
        <f>+K29*L29</f>
        <v>0</v>
      </c>
      <c r="O29" s="220"/>
      <c r="P29" s="220"/>
      <c r="Q29" s="220"/>
    </row>
    <row r="30" spans="2:17" x14ac:dyDescent="0.3">
      <c r="M30" s="285">
        <v>1</v>
      </c>
      <c r="O30" s="220"/>
      <c r="P30" s="220"/>
      <c r="Q30" s="220"/>
    </row>
    <row r="31" spans="2:17" x14ac:dyDescent="0.3">
      <c r="M31" s="77">
        <f>+M29*M30</f>
        <v>0</v>
      </c>
      <c r="O31" s="220"/>
      <c r="P31" s="220"/>
      <c r="Q31" s="220"/>
    </row>
    <row r="32" spans="2:17" x14ac:dyDescent="0.3">
      <c r="O32" s="220"/>
      <c r="P32" s="220"/>
      <c r="Q32" s="220"/>
    </row>
    <row r="33" spans="15:17" x14ac:dyDescent="0.3">
      <c r="O33" s="220"/>
      <c r="P33" s="220"/>
      <c r="Q33" s="220"/>
    </row>
    <row r="34" spans="15:17" x14ac:dyDescent="0.3">
      <c r="O34" s="220"/>
      <c r="P34" s="220"/>
      <c r="Q34" s="220"/>
    </row>
    <row r="35" spans="15:17" x14ac:dyDescent="0.3">
      <c r="O35" s="220"/>
      <c r="P35" s="220"/>
      <c r="Q35" s="220"/>
    </row>
    <row r="36" spans="15:17" x14ac:dyDescent="0.3">
      <c r="O36" s="220"/>
      <c r="P36" s="220"/>
      <c r="Q36" s="220"/>
    </row>
    <row r="37" spans="15:17" x14ac:dyDescent="0.3">
      <c r="O37" s="220"/>
      <c r="P37" s="220"/>
      <c r="Q37" s="220"/>
    </row>
    <row r="38" spans="15:17" x14ac:dyDescent="0.3">
      <c r="O38" s="220"/>
      <c r="P38" s="220"/>
      <c r="Q38" s="220"/>
    </row>
    <row r="39" spans="15:17" x14ac:dyDescent="0.3">
      <c r="O39" s="220"/>
      <c r="P39" s="220"/>
      <c r="Q39" s="220"/>
    </row>
  </sheetData>
  <mergeCells count="4">
    <mergeCell ref="F23:M23"/>
    <mergeCell ref="H15:J15"/>
    <mergeCell ref="F5:M5"/>
    <mergeCell ref="K15:M1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596C3-BE72-4B93-89B4-F788C5DBF9BB}">
  <dimension ref="A1:O171"/>
  <sheetViews>
    <sheetView topLeftCell="B1" workbookViewId="0">
      <selection activeCell="J1" sqref="J1"/>
    </sheetView>
  </sheetViews>
  <sheetFormatPr defaultRowHeight="14.4" x14ac:dyDescent="0.3"/>
  <cols>
    <col min="1" max="1" width="12.33203125" customWidth="1"/>
    <col min="2" max="2" width="10.44140625" customWidth="1"/>
    <col min="4" max="4" width="9.109375" bestFit="1" customWidth="1"/>
    <col min="6" max="6" width="12.109375" bestFit="1" customWidth="1"/>
    <col min="7" max="7" width="12.33203125" customWidth="1"/>
    <col min="8" max="8" width="12.6640625" customWidth="1"/>
    <col min="9" max="9" width="13.44140625" customWidth="1"/>
    <col min="11" max="11" width="45.6640625" hidden="1" customWidth="1"/>
    <col min="12" max="12" width="0" hidden="1" customWidth="1"/>
    <col min="14" max="14" width="39.33203125" customWidth="1"/>
    <col min="15" max="15" width="34.44140625" customWidth="1"/>
  </cols>
  <sheetData>
    <row r="1" spans="1:15" ht="25.8" x14ac:dyDescent="0.5">
      <c r="A1" s="4" t="s">
        <v>41</v>
      </c>
    </row>
    <row r="2" spans="1:15" ht="18" x14ac:dyDescent="0.35">
      <c r="A2" s="106" t="s">
        <v>82</v>
      </c>
    </row>
    <row r="3" spans="1:15" ht="27.6" customHeight="1" x14ac:dyDescent="0.3">
      <c r="C3" s="37" t="s">
        <v>83</v>
      </c>
      <c r="D3" s="33"/>
      <c r="E3" s="33"/>
      <c r="F3" s="33"/>
      <c r="G3" s="49" t="s">
        <v>84</v>
      </c>
      <c r="H3" s="33"/>
      <c r="I3" s="48" t="s">
        <v>85</v>
      </c>
      <c r="M3" s="312"/>
      <c r="N3" s="312"/>
      <c r="O3" s="290"/>
    </row>
    <row r="4" spans="1:15" ht="15.6" x14ac:dyDescent="0.35">
      <c r="C4" s="25" t="s">
        <v>86</v>
      </c>
      <c r="D4" s="10"/>
      <c r="E4" s="10"/>
      <c r="F4" s="31" t="s">
        <v>93</v>
      </c>
      <c r="G4" s="2"/>
      <c r="H4" s="33"/>
      <c r="I4" s="51">
        <f>+'CO2-potential'!G3</f>
        <v>0</v>
      </c>
      <c r="M4" s="289"/>
      <c r="N4" s="293"/>
      <c r="O4" s="290"/>
    </row>
    <row r="5" spans="1:15" ht="15.6" x14ac:dyDescent="0.35">
      <c r="A5" s="1"/>
      <c r="C5" s="25" t="s">
        <v>87</v>
      </c>
      <c r="D5" s="10"/>
      <c r="E5" s="10"/>
      <c r="F5" s="31" t="s">
        <v>14</v>
      </c>
      <c r="G5" s="27"/>
      <c r="H5" s="33"/>
      <c r="I5" s="58"/>
      <c r="M5" s="289"/>
      <c r="N5" s="289"/>
      <c r="O5" s="291"/>
    </row>
    <row r="6" spans="1:15" ht="15.6" x14ac:dyDescent="0.35">
      <c r="C6" s="25" t="s">
        <v>87</v>
      </c>
      <c r="D6" s="10"/>
      <c r="E6" s="10"/>
      <c r="F6" s="31" t="s">
        <v>93</v>
      </c>
      <c r="G6" s="51">
        <v>89700</v>
      </c>
      <c r="H6" s="33"/>
      <c r="I6" s="32">
        <f>+I4*I5</f>
        <v>0</v>
      </c>
      <c r="M6" s="289"/>
      <c r="N6" s="289"/>
      <c r="O6" s="291"/>
    </row>
    <row r="7" spans="1:15" x14ac:dyDescent="0.3">
      <c r="C7" s="25" t="s">
        <v>88</v>
      </c>
      <c r="D7" s="10"/>
      <c r="E7" s="10"/>
      <c r="F7" s="31" t="s">
        <v>93</v>
      </c>
      <c r="G7" s="51">
        <v>16560</v>
      </c>
      <c r="H7" s="33"/>
      <c r="I7" s="32">
        <f>ROUND(I6/$G$6*$G$7,0)</f>
        <v>0</v>
      </c>
      <c r="M7" s="289"/>
      <c r="N7" s="289"/>
      <c r="O7" s="291"/>
    </row>
    <row r="8" spans="1:15" x14ac:dyDescent="0.3">
      <c r="C8" s="25" t="s">
        <v>89</v>
      </c>
      <c r="D8" s="10"/>
      <c r="E8" s="10"/>
      <c r="F8" s="31" t="s">
        <v>94</v>
      </c>
      <c r="G8" s="51">
        <f>+G7*0.146</f>
        <v>2417.7599999999998</v>
      </c>
      <c r="H8" s="55"/>
      <c r="I8" s="32">
        <f>ROUND(I6/$G$6*$G$8,0)</f>
        <v>0</v>
      </c>
      <c r="K8" t="s">
        <v>24</v>
      </c>
      <c r="L8" t="s">
        <v>23</v>
      </c>
      <c r="M8" s="289"/>
      <c r="N8" s="291"/>
      <c r="O8" s="291"/>
    </row>
    <row r="9" spans="1:15" x14ac:dyDescent="0.3">
      <c r="C9" s="25" t="s">
        <v>90</v>
      </c>
      <c r="D9" s="10"/>
      <c r="E9" s="10"/>
      <c r="F9" s="31" t="s">
        <v>94</v>
      </c>
      <c r="G9" s="51">
        <v>3.9216000000000002</v>
      </c>
      <c r="H9" s="33"/>
      <c r="I9" s="44">
        <f>+G9/G7*I7</f>
        <v>0</v>
      </c>
      <c r="K9" t="s">
        <v>27</v>
      </c>
      <c r="M9" s="220"/>
      <c r="N9" s="220"/>
      <c r="O9" s="220"/>
    </row>
    <row r="10" spans="1:15" x14ac:dyDescent="0.3">
      <c r="C10" s="25" t="s">
        <v>91</v>
      </c>
      <c r="D10" s="10"/>
      <c r="E10" s="10"/>
      <c r="F10" s="31" t="s">
        <v>12</v>
      </c>
      <c r="G10" s="51">
        <v>100</v>
      </c>
      <c r="H10" s="33"/>
      <c r="I10" s="51">
        <f>+I6/G6*G10</f>
        <v>0</v>
      </c>
      <c r="M10" s="220"/>
      <c r="N10" s="220"/>
      <c r="O10" s="220"/>
    </row>
    <row r="11" spans="1:15" x14ac:dyDescent="0.3">
      <c r="C11" s="37" t="str">
        <f>"Output - "&amp;C3</f>
        <v>Output - PtX - Methanization</v>
      </c>
      <c r="D11" s="8"/>
      <c r="E11" s="8"/>
      <c r="F11" s="8"/>
      <c r="G11" s="34"/>
      <c r="H11" s="33"/>
      <c r="I11" s="32"/>
      <c r="K11" t="s">
        <v>26</v>
      </c>
      <c r="L11">
        <f>+G7/2*4</f>
        <v>33120</v>
      </c>
      <c r="M11" s="220"/>
      <c r="N11" s="220"/>
      <c r="O11" s="220"/>
    </row>
    <row r="12" spans="1:15" x14ac:dyDescent="0.3">
      <c r="C12" s="25" t="s">
        <v>92</v>
      </c>
      <c r="D12" s="10"/>
      <c r="E12" s="10"/>
      <c r="F12" s="31" t="s">
        <v>94</v>
      </c>
      <c r="G12" s="51">
        <f>0.05555*L11</f>
        <v>1839.816</v>
      </c>
      <c r="H12" s="33"/>
      <c r="I12" s="44">
        <f>+I7/G7*G12</f>
        <v>0</v>
      </c>
      <c r="K12" t="s">
        <v>24</v>
      </c>
      <c r="L12" t="s">
        <v>25</v>
      </c>
      <c r="M12" s="220"/>
      <c r="N12" s="220"/>
      <c r="O12" s="220"/>
    </row>
    <row r="13" spans="1:15" x14ac:dyDescent="0.3">
      <c r="C13" s="25" t="s">
        <v>95</v>
      </c>
      <c r="D13" s="10"/>
      <c r="E13" s="10"/>
      <c r="F13" s="31" t="s">
        <v>94</v>
      </c>
      <c r="G13" s="51">
        <f>+G8*0.226</f>
        <v>546.41375999999991</v>
      </c>
      <c r="H13" s="33"/>
      <c r="I13" s="44">
        <f>+I6/G6*G13</f>
        <v>0</v>
      </c>
      <c r="K13" t="s">
        <v>28</v>
      </c>
      <c r="M13" s="220"/>
      <c r="N13" s="220"/>
      <c r="O13" s="220"/>
    </row>
    <row r="14" spans="1:15" ht="18" x14ac:dyDescent="0.35">
      <c r="A14" s="106" t="s">
        <v>15</v>
      </c>
      <c r="G14" s="35"/>
      <c r="I14" s="35"/>
      <c r="M14" s="220"/>
      <c r="N14" s="220"/>
      <c r="O14" s="220"/>
    </row>
    <row r="15" spans="1:15" ht="27.6" customHeight="1" x14ac:dyDescent="0.3">
      <c r="A15" s="1"/>
      <c r="C15" s="37" t="s">
        <v>116</v>
      </c>
      <c r="D15" s="33"/>
      <c r="E15" s="33"/>
      <c r="F15" s="33"/>
      <c r="G15" s="49" t="s">
        <v>84</v>
      </c>
      <c r="H15" s="48"/>
      <c r="I15" s="48" t="s">
        <v>85</v>
      </c>
      <c r="M15" s="312"/>
      <c r="N15" s="312"/>
      <c r="O15" s="290"/>
    </row>
    <row r="16" spans="1:15" ht="15.6" x14ac:dyDescent="0.35">
      <c r="C16" s="25" t="s">
        <v>86</v>
      </c>
      <c r="D16" s="10"/>
      <c r="E16" s="10"/>
      <c r="F16" s="31" t="s">
        <v>93</v>
      </c>
      <c r="G16" s="2"/>
      <c r="H16" s="33"/>
      <c r="I16" s="32">
        <f>+'CO2-potential'!G3</f>
        <v>0</v>
      </c>
      <c r="M16" s="289"/>
      <c r="N16" s="290"/>
      <c r="O16" s="290"/>
    </row>
    <row r="17" spans="1:15" ht="15.6" x14ac:dyDescent="0.35">
      <c r="C17" s="25" t="s">
        <v>87</v>
      </c>
      <c r="D17" s="10"/>
      <c r="E17" s="10"/>
      <c r="F17" s="31" t="s">
        <v>14</v>
      </c>
      <c r="G17" s="27"/>
      <c r="H17" s="33"/>
      <c r="I17" s="58"/>
      <c r="M17" s="289"/>
      <c r="N17" s="291"/>
      <c r="O17" s="291"/>
    </row>
    <row r="18" spans="1:15" ht="15.6" x14ac:dyDescent="0.35">
      <c r="C18" s="25" t="s">
        <v>87</v>
      </c>
      <c r="D18" s="10"/>
      <c r="E18" s="10"/>
      <c r="F18" s="31" t="s">
        <v>93</v>
      </c>
      <c r="G18" s="51">
        <f>1.3333*91324</f>
        <v>121762.2892</v>
      </c>
      <c r="H18" s="33"/>
      <c r="I18" s="27">
        <f>I17*$I16</f>
        <v>0</v>
      </c>
      <c r="M18" s="289"/>
      <c r="N18" s="291"/>
      <c r="O18" s="291"/>
    </row>
    <row r="19" spans="1:15" x14ac:dyDescent="0.3">
      <c r="C19" s="25" t="s">
        <v>88</v>
      </c>
      <c r="D19" s="10"/>
      <c r="E19" s="10"/>
      <c r="F19" s="31" t="s">
        <v>93</v>
      </c>
      <c r="G19" s="51">
        <f>1.33333*12420</f>
        <v>16559.958599999998</v>
      </c>
      <c r="H19" s="33"/>
      <c r="I19" s="27">
        <f>ROUND(I$18/$G$18*$G$19,1)</f>
        <v>0</v>
      </c>
      <c r="M19" s="289"/>
      <c r="N19" s="291"/>
      <c r="O19" s="291"/>
    </row>
    <row r="20" spans="1:15" x14ac:dyDescent="0.3">
      <c r="C20" s="25" t="s">
        <v>89</v>
      </c>
      <c r="D20" s="10"/>
      <c r="E20" s="10"/>
      <c r="F20" s="31" t="s">
        <v>12</v>
      </c>
      <c r="G20" s="51">
        <v>100</v>
      </c>
      <c r="H20" s="33"/>
      <c r="I20" s="51">
        <f>ROUND(I$18/$G$18*$G$20,1)</f>
        <v>0</v>
      </c>
      <c r="M20" s="289"/>
      <c r="N20" s="291"/>
      <c r="O20" s="291"/>
    </row>
    <row r="21" spans="1:15" x14ac:dyDescent="0.3">
      <c r="C21" s="18" t="s">
        <v>90</v>
      </c>
      <c r="D21" s="8"/>
      <c r="E21" s="8"/>
      <c r="F21" s="8"/>
      <c r="G21" s="8"/>
      <c r="H21" s="8"/>
      <c r="I21" s="8"/>
      <c r="M21" s="220"/>
      <c r="N21" s="220"/>
      <c r="O21" s="220"/>
    </row>
    <row r="22" spans="1:15" x14ac:dyDescent="0.3">
      <c r="C22" s="25" t="s">
        <v>96</v>
      </c>
      <c r="D22" s="10"/>
      <c r="E22" s="10"/>
      <c r="F22" s="31" t="s">
        <v>94</v>
      </c>
      <c r="G22" s="51">
        <f>+G20*360*24*0.0036</f>
        <v>3110.4</v>
      </c>
      <c r="H22" s="33"/>
      <c r="I22" s="56">
        <f>ROUND(I$18/$G$18*$G$22,1)</f>
        <v>0</v>
      </c>
      <c r="K22" t="s">
        <v>29</v>
      </c>
      <c r="M22" s="220"/>
      <c r="N22" s="220"/>
      <c r="O22" s="220"/>
    </row>
    <row r="23" spans="1:15" x14ac:dyDescent="0.3">
      <c r="C23" s="25" t="s">
        <v>97</v>
      </c>
      <c r="D23" s="10"/>
      <c r="E23" s="10"/>
      <c r="F23" s="26"/>
      <c r="G23" s="51">
        <f>+G22-G33</f>
        <v>1125.27</v>
      </c>
      <c r="H23" s="33"/>
      <c r="I23" s="44">
        <f>+G23*I20/100</f>
        <v>0</v>
      </c>
      <c r="M23" s="220"/>
      <c r="N23" s="220"/>
      <c r="O23" s="220"/>
    </row>
    <row r="24" spans="1:15" x14ac:dyDescent="0.3">
      <c r="C24" s="25" t="s">
        <v>98</v>
      </c>
      <c r="D24" s="10"/>
      <c r="E24" s="10"/>
      <c r="F24" s="31" t="s">
        <v>94</v>
      </c>
      <c r="G24" s="51">
        <v>1827.0489600000001</v>
      </c>
      <c r="H24" s="33"/>
      <c r="I24" s="44">
        <f>ROUND(I$18/$G$18*$G$24,1)</f>
        <v>0</v>
      </c>
      <c r="K24" t="s">
        <v>29</v>
      </c>
      <c r="M24" s="220"/>
      <c r="N24" s="220"/>
      <c r="O24" s="220"/>
    </row>
    <row r="25" spans="1:15" x14ac:dyDescent="0.3">
      <c r="C25" s="25" t="s">
        <v>99</v>
      </c>
      <c r="D25" s="10"/>
      <c r="E25" s="10"/>
      <c r="F25" s="31" t="s">
        <v>94</v>
      </c>
      <c r="G25" s="51">
        <f>+G22*0.324</f>
        <v>1007.7696000000001</v>
      </c>
      <c r="H25" s="33"/>
      <c r="I25" s="44">
        <f>ROUND(I$18/$G$18*$G$25,1)</f>
        <v>0</v>
      </c>
      <c r="K25" t="s">
        <v>29</v>
      </c>
      <c r="M25" s="220"/>
      <c r="N25" s="220"/>
      <c r="O25" s="220"/>
    </row>
    <row r="26" spans="1:15" x14ac:dyDescent="0.3">
      <c r="B26" s="66"/>
      <c r="C26" s="25" t="s">
        <v>100</v>
      </c>
      <c r="D26" s="10"/>
      <c r="E26" s="10"/>
      <c r="F26" s="31" t="s">
        <v>94</v>
      </c>
      <c r="G26" s="51">
        <f>+G25-G34</f>
        <v>526.89960000000008</v>
      </c>
      <c r="H26" s="33"/>
      <c r="I26" s="56">
        <f>ROUND(I$18/$G$18*$G$26,1)</f>
        <v>0</v>
      </c>
      <c r="M26" s="220"/>
      <c r="N26" s="220"/>
      <c r="O26" s="220"/>
    </row>
    <row r="27" spans="1:15" ht="18" x14ac:dyDescent="0.35">
      <c r="A27" s="106" t="s">
        <v>42</v>
      </c>
      <c r="B27" s="66"/>
      <c r="L27" s="36"/>
      <c r="M27" s="220"/>
      <c r="N27" s="220"/>
      <c r="O27" s="220"/>
    </row>
    <row r="28" spans="1:15" ht="27.6" customHeight="1" x14ac:dyDescent="0.3">
      <c r="A28" s="1"/>
      <c r="B28" s="66"/>
      <c r="C28" s="37" t="s">
        <v>101</v>
      </c>
      <c r="D28" s="33"/>
      <c r="E28" s="33"/>
      <c r="F28" s="33"/>
      <c r="G28" s="49" t="s">
        <v>84</v>
      </c>
      <c r="H28" s="48"/>
      <c r="I28" s="48" t="s">
        <v>85</v>
      </c>
      <c r="M28" s="312"/>
      <c r="N28" s="312"/>
      <c r="O28" s="290"/>
    </row>
    <row r="29" spans="1:15" ht="15" x14ac:dyDescent="0.3">
      <c r="B29" s="66"/>
      <c r="C29" s="33" t="s">
        <v>102</v>
      </c>
      <c r="D29" s="33"/>
      <c r="E29" s="33"/>
      <c r="F29" s="45" t="s">
        <v>12</v>
      </c>
      <c r="G29" s="51">
        <v>100</v>
      </c>
      <c r="H29" s="33"/>
      <c r="I29" s="54">
        <f>+I20+I10</f>
        <v>0</v>
      </c>
      <c r="M29" s="289"/>
      <c r="N29" s="293"/>
      <c r="O29" s="290"/>
    </row>
    <row r="30" spans="1:15" x14ac:dyDescent="0.3">
      <c r="B30" s="66"/>
      <c r="C30" s="33" t="s">
        <v>103</v>
      </c>
      <c r="D30" s="33"/>
      <c r="E30" s="33"/>
      <c r="F30" s="45" t="s">
        <v>13</v>
      </c>
      <c r="G30" s="51">
        <v>6850</v>
      </c>
      <c r="H30" s="33"/>
      <c r="I30" s="27">
        <f>$G30</f>
        <v>6850</v>
      </c>
      <c r="M30" s="289"/>
      <c r="N30" s="289"/>
      <c r="O30" s="291"/>
    </row>
    <row r="31" spans="1:15" x14ac:dyDescent="0.3">
      <c r="B31" s="66"/>
      <c r="C31" s="33" t="s">
        <v>104</v>
      </c>
      <c r="D31" s="33"/>
      <c r="E31" s="33"/>
      <c r="F31" s="45" t="s">
        <v>2</v>
      </c>
      <c r="G31" s="51">
        <f>+G29*G30*0.0036</f>
        <v>2466</v>
      </c>
      <c r="H31" s="33"/>
      <c r="I31" s="27">
        <f>I$29/$G$29*$G31</f>
        <v>0</v>
      </c>
      <c r="M31" s="289"/>
      <c r="N31" s="291"/>
      <c r="O31" s="291"/>
    </row>
    <row r="32" spans="1:15" x14ac:dyDescent="0.3">
      <c r="B32" s="66"/>
      <c r="C32" s="33" t="s">
        <v>104</v>
      </c>
      <c r="F32" s="45" t="s">
        <v>22</v>
      </c>
      <c r="G32" s="51">
        <f>24.2/1000*G29*G30</f>
        <v>16577</v>
      </c>
      <c r="I32" s="35">
        <f>+I7+I19</f>
        <v>0</v>
      </c>
      <c r="M32" s="220"/>
      <c r="N32" s="220"/>
      <c r="O32" s="220"/>
    </row>
    <row r="33" spans="1:15" x14ac:dyDescent="0.3">
      <c r="B33" s="66"/>
      <c r="C33" s="33" t="s">
        <v>117</v>
      </c>
      <c r="D33" s="33"/>
      <c r="E33" s="33"/>
      <c r="F33" s="31" t="s">
        <v>94</v>
      </c>
      <c r="G33" s="51">
        <f>+G31*0.805</f>
        <v>1985.13</v>
      </c>
      <c r="H33" s="33"/>
      <c r="I33" s="50">
        <f>I$29/$G$29*$G33</f>
        <v>0</v>
      </c>
      <c r="M33" s="220"/>
      <c r="N33" s="220"/>
      <c r="O33" s="220"/>
    </row>
    <row r="34" spans="1:15" x14ac:dyDescent="0.3">
      <c r="B34" s="66"/>
      <c r="C34" s="292" t="s">
        <v>105</v>
      </c>
      <c r="D34" s="33"/>
      <c r="E34" s="33"/>
      <c r="F34" s="31" t="s">
        <v>94</v>
      </c>
      <c r="G34" s="51">
        <f>+G31*0.195</f>
        <v>480.87</v>
      </c>
      <c r="H34" s="33"/>
      <c r="I34" s="50">
        <f>I$29/$G$29*$G34</f>
        <v>0</v>
      </c>
      <c r="M34" s="220"/>
      <c r="N34" s="220"/>
      <c r="O34" s="220"/>
    </row>
    <row r="35" spans="1:15" x14ac:dyDescent="0.3">
      <c r="B35" s="66"/>
      <c r="C35" s="33" t="s">
        <v>106</v>
      </c>
      <c r="D35" s="2"/>
      <c r="E35" s="2"/>
      <c r="F35" s="31" t="s">
        <v>94</v>
      </c>
      <c r="G35" s="52">
        <f>+G34/19.5*14.7</f>
        <v>362.50200000000001</v>
      </c>
      <c r="H35" s="2"/>
      <c r="I35" s="46">
        <f>+G35/G29*I29</f>
        <v>0</v>
      </c>
      <c r="M35" s="220"/>
      <c r="N35" s="220"/>
      <c r="O35" s="220"/>
    </row>
    <row r="36" spans="1:15" x14ac:dyDescent="0.3">
      <c r="B36" s="66"/>
      <c r="C36" s="33" t="s">
        <v>107</v>
      </c>
      <c r="D36" s="2"/>
      <c r="E36" s="2"/>
      <c r="F36" s="31" t="s">
        <v>94</v>
      </c>
      <c r="G36" s="53">
        <f>+G34-G35</f>
        <v>118.36799999999999</v>
      </c>
      <c r="H36" s="2"/>
      <c r="I36" s="46">
        <f>+G35/19.5*4.8/G29*I29</f>
        <v>0</v>
      </c>
      <c r="M36" s="220"/>
      <c r="N36" s="220"/>
      <c r="O36" s="220"/>
    </row>
    <row r="37" spans="1:15" x14ac:dyDescent="0.3">
      <c r="M37" s="220"/>
      <c r="N37" s="220"/>
      <c r="O37" s="220"/>
    </row>
    <row r="38" spans="1:15" x14ac:dyDescent="0.3">
      <c r="M38" s="220"/>
      <c r="N38" s="220"/>
      <c r="O38" s="220"/>
    </row>
    <row r="39" spans="1:15" ht="18" x14ac:dyDescent="0.35">
      <c r="A39" s="106" t="s">
        <v>7</v>
      </c>
      <c r="C39" s="1"/>
      <c r="D39" s="1"/>
      <c r="E39" s="1"/>
      <c r="F39" s="1"/>
      <c r="G39" s="1"/>
      <c r="H39" s="1"/>
      <c r="I39" s="1"/>
      <c r="M39" s="220"/>
      <c r="N39" s="220"/>
      <c r="O39" s="220"/>
    </row>
    <row r="40" spans="1:15" ht="15.6" x14ac:dyDescent="0.3">
      <c r="A40" s="1"/>
      <c r="C40" s="306" t="s">
        <v>108</v>
      </c>
      <c r="D40" s="307"/>
      <c r="E40" s="307"/>
      <c r="F40" s="307"/>
      <c r="G40" s="307"/>
      <c r="H40" s="307"/>
      <c r="I40" s="308"/>
      <c r="M40" s="313"/>
      <c r="N40" s="313"/>
      <c r="O40" s="294"/>
    </row>
    <row r="41" spans="1:15" ht="60" x14ac:dyDescent="0.3">
      <c r="C41" s="141"/>
      <c r="D41" s="143"/>
      <c r="E41" s="139" t="s">
        <v>69</v>
      </c>
      <c r="F41" s="73" t="s">
        <v>111</v>
      </c>
      <c r="G41" s="72" t="s">
        <v>32</v>
      </c>
      <c r="H41" s="73" t="s">
        <v>112</v>
      </c>
      <c r="I41" s="72" t="s">
        <v>113</v>
      </c>
      <c r="M41" s="294"/>
      <c r="N41" s="295"/>
      <c r="O41" s="295"/>
    </row>
    <row r="42" spans="1:15" ht="15" x14ac:dyDescent="0.3">
      <c r="C42" s="146" t="s">
        <v>64</v>
      </c>
      <c r="D42" s="143"/>
      <c r="E42" s="216"/>
      <c r="F42" s="68">
        <v>14</v>
      </c>
      <c r="G42" s="71">
        <f>E42*F42</f>
        <v>0</v>
      </c>
      <c r="H42" s="68">
        <v>39.799999999999997</v>
      </c>
      <c r="I42" s="71">
        <f>G42*H42/1000000</f>
        <v>0</v>
      </c>
      <c r="M42" s="294"/>
      <c r="N42" s="294"/>
      <c r="O42" s="294"/>
    </row>
    <row r="43" spans="1:15" ht="15" x14ac:dyDescent="0.3">
      <c r="C43" s="145" t="s">
        <v>109</v>
      </c>
      <c r="D43" s="140"/>
      <c r="E43" s="216"/>
      <c r="F43" s="68">
        <v>12</v>
      </c>
      <c r="G43" s="71">
        <f>E43*F43</f>
        <v>0</v>
      </c>
      <c r="H43" s="68">
        <v>39.799999999999997</v>
      </c>
      <c r="I43" s="71">
        <f>G43*H42/1000000</f>
        <v>0</v>
      </c>
      <c r="M43" s="294"/>
      <c r="N43" s="294"/>
      <c r="O43" s="294"/>
    </row>
    <row r="44" spans="1:15" ht="15" x14ac:dyDescent="0.3">
      <c r="C44" s="142" t="s">
        <v>66</v>
      </c>
      <c r="D44" s="144"/>
      <c r="E44" s="216"/>
      <c r="F44" s="68">
        <v>12</v>
      </c>
      <c r="G44" s="71">
        <f>E44*F44</f>
        <v>0</v>
      </c>
      <c r="H44" s="68">
        <v>39.799999999999997</v>
      </c>
      <c r="I44" s="71"/>
      <c r="M44" s="294"/>
      <c r="N44" s="294"/>
      <c r="O44" s="294"/>
    </row>
    <row r="45" spans="1:15" ht="15" x14ac:dyDescent="0.3">
      <c r="C45" s="142" t="s">
        <v>67</v>
      </c>
      <c r="D45" s="144"/>
      <c r="E45" s="216"/>
      <c r="F45" s="68">
        <v>12</v>
      </c>
      <c r="G45" s="71">
        <f>E45*F45</f>
        <v>0</v>
      </c>
      <c r="H45" s="68">
        <v>39.799999999999997</v>
      </c>
      <c r="I45" s="71"/>
      <c r="M45" s="294"/>
      <c r="N45" s="294"/>
      <c r="O45" s="294"/>
    </row>
    <row r="46" spans="1:15" ht="15" x14ac:dyDescent="0.3">
      <c r="C46" s="142" t="s">
        <v>110</v>
      </c>
      <c r="D46" s="144"/>
      <c r="E46" s="140"/>
      <c r="F46" s="68"/>
      <c r="G46" s="68"/>
      <c r="H46" s="68"/>
      <c r="I46" s="47">
        <f>SUM(I42:I45)</f>
        <v>0</v>
      </c>
      <c r="M46" s="294"/>
      <c r="N46" s="294"/>
      <c r="O46" s="294"/>
    </row>
    <row r="47" spans="1:15" ht="15" thickBot="1" x14ac:dyDescent="0.35">
      <c r="H47" t="s">
        <v>114</v>
      </c>
      <c r="M47" s="220"/>
      <c r="N47" s="220"/>
      <c r="O47" s="220"/>
    </row>
    <row r="48" spans="1:15" ht="15" thickBot="1" x14ac:dyDescent="0.35">
      <c r="C48" s="214" t="s">
        <v>115</v>
      </c>
      <c r="D48" s="215"/>
      <c r="E48" s="215"/>
      <c r="F48" s="215"/>
      <c r="G48" s="215"/>
      <c r="H48" s="296">
        <v>0</v>
      </c>
      <c r="I48" s="213">
        <f>+I46*H48</f>
        <v>0</v>
      </c>
      <c r="M48" s="220"/>
      <c r="N48" s="220"/>
      <c r="O48" s="220"/>
    </row>
    <row r="49" spans="1:15" x14ac:dyDescent="0.3">
      <c r="M49" s="220"/>
      <c r="N49" s="220"/>
      <c r="O49" s="220"/>
    </row>
    <row r="50" spans="1:15" x14ac:dyDescent="0.3">
      <c r="M50" s="220"/>
      <c r="N50" s="220"/>
      <c r="O50" s="220"/>
    </row>
    <row r="51" spans="1:15" x14ac:dyDescent="0.3">
      <c r="M51" s="220"/>
      <c r="N51" s="220"/>
      <c r="O51" s="220"/>
    </row>
    <row r="54" spans="1:15" x14ac:dyDescent="0.3">
      <c r="A54" s="1"/>
    </row>
    <row r="56" spans="1:15" x14ac:dyDescent="0.3">
      <c r="A56" s="1"/>
    </row>
    <row r="67" spans="1:1" x14ac:dyDescent="0.3">
      <c r="A67" s="1" t="s">
        <v>9</v>
      </c>
    </row>
    <row r="81" spans="1:9" x14ac:dyDescent="0.3">
      <c r="A81" s="1"/>
    </row>
    <row r="83" spans="1:9" x14ac:dyDescent="0.3">
      <c r="A83" s="1"/>
    </row>
    <row r="88" spans="1:9" x14ac:dyDescent="0.3">
      <c r="C88" s="2"/>
      <c r="D88" s="5"/>
      <c r="E88" s="6"/>
      <c r="F88" s="7"/>
      <c r="G88" s="5"/>
      <c r="H88" s="6"/>
      <c r="I88" s="7"/>
    </row>
    <row r="89" spans="1:9" x14ac:dyDescent="0.3">
      <c r="C89" s="2"/>
      <c r="D89" s="2"/>
      <c r="E89" s="2"/>
      <c r="F89" s="2"/>
      <c r="G89" s="2"/>
      <c r="H89" s="2"/>
      <c r="I89" s="2"/>
    </row>
    <row r="90" spans="1:9" x14ac:dyDescent="0.3">
      <c r="C90" s="2"/>
      <c r="D90" s="2"/>
      <c r="E90" s="2"/>
      <c r="F90" s="2"/>
      <c r="G90" s="3"/>
      <c r="H90" s="3"/>
      <c r="I90" s="2"/>
    </row>
    <row r="91" spans="1:9" x14ac:dyDescent="0.3">
      <c r="C91" s="2"/>
      <c r="D91" s="2"/>
      <c r="E91" s="2"/>
      <c r="F91" s="2"/>
      <c r="G91" s="2"/>
      <c r="H91" s="2"/>
      <c r="I91" s="2"/>
    </row>
    <row r="110" spans="1:1" x14ac:dyDescent="0.3">
      <c r="A110" s="1" t="s">
        <v>11</v>
      </c>
    </row>
    <row r="112" spans="1:1" x14ac:dyDescent="0.3">
      <c r="A112" s="1" t="s">
        <v>0</v>
      </c>
    </row>
    <row r="125" spans="1:1" x14ac:dyDescent="0.3">
      <c r="A125" s="1" t="s">
        <v>8</v>
      </c>
    </row>
    <row r="130" spans="1:12" x14ac:dyDescent="0.3">
      <c r="J130" s="8"/>
      <c r="K130" s="8"/>
      <c r="L130" s="8"/>
    </row>
    <row r="131" spans="1:12" ht="15.6" x14ac:dyDescent="0.3">
      <c r="F131" s="24"/>
      <c r="G131" s="8"/>
      <c r="H131" s="8"/>
      <c r="I131" s="8"/>
      <c r="J131" s="8"/>
      <c r="K131" s="8"/>
      <c r="L131" s="8"/>
    </row>
    <row r="136" spans="1:12" x14ac:dyDescent="0.3">
      <c r="A136" s="1" t="s">
        <v>3</v>
      </c>
      <c r="J136" s="8"/>
      <c r="K136" s="8"/>
      <c r="L136" s="8"/>
    </row>
    <row r="138" spans="1:12" x14ac:dyDescent="0.3">
      <c r="A138" s="1" t="s">
        <v>0</v>
      </c>
    </row>
    <row r="145" spans="1:12" x14ac:dyDescent="0.3">
      <c r="K145" s="8"/>
      <c r="L145" s="8"/>
    </row>
    <row r="148" spans="1:12" x14ac:dyDescent="0.3">
      <c r="G148" s="34"/>
    </row>
    <row r="149" spans="1:12" x14ac:dyDescent="0.3">
      <c r="C149" s="61"/>
      <c r="D149" s="34"/>
      <c r="E149" s="34"/>
      <c r="F149" s="34"/>
      <c r="G149" s="62"/>
      <c r="H149" s="63"/>
      <c r="I149" s="64"/>
    </row>
    <row r="150" spans="1:12" x14ac:dyDescent="0.3">
      <c r="C150" s="61"/>
      <c r="D150" s="34"/>
      <c r="E150" s="34"/>
      <c r="F150" s="34"/>
      <c r="G150" s="62"/>
      <c r="H150" s="63"/>
      <c r="I150" s="64"/>
    </row>
    <row r="151" spans="1:12" x14ac:dyDescent="0.3">
      <c r="C151" s="61"/>
      <c r="D151" s="34"/>
      <c r="E151" s="34"/>
      <c r="F151" s="34"/>
      <c r="G151" s="62"/>
      <c r="H151" s="63"/>
      <c r="I151" s="64"/>
    </row>
    <row r="152" spans="1:12" x14ac:dyDescent="0.3">
      <c r="A152" s="1" t="s">
        <v>4</v>
      </c>
      <c r="C152" s="61"/>
      <c r="D152" s="34"/>
      <c r="E152" s="34"/>
      <c r="F152" s="34"/>
      <c r="G152" s="62"/>
      <c r="H152" s="63"/>
      <c r="I152" s="64"/>
    </row>
    <row r="153" spans="1:12" x14ac:dyDescent="0.3">
      <c r="C153" s="34"/>
      <c r="D153" s="34"/>
      <c r="E153" s="34"/>
      <c r="F153" s="34"/>
      <c r="G153" s="34"/>
      <c r="H153" s="63"/>
      <c r="I153" s="65"/>
    </row>
    <row r="154" spans="1:12" x14ac:dyDescent="0.3">
      <c r="A154" s="1" t="s">
        <v>0</v>
      </c>
    </row>
    <row r="162" spans="1:1" x14ac:dyDescent="0.3">
      <c r="A162" s="1" t="s">
        <v>5</v>
      </c>
    </row>
    <row r="164" spans="1:1" x14ac:dyDescent="0.3">
      <c r="A164" s="1" t="s">
        <v>0</v>
      </c>
    </row>
    <row r="171" spans="1:1" x14ac:dyDescent="0.3">
      <c r="A171" s="1" t="s">
        <v>6</v>
      </c>
    </row>
  </sheetData>
  <mergeCells count="5">
    <mergeCell ref="C40:I40"/>
    <mergeCell ref="M3:N3"/>
    <mergeCell ref="M40:N40"/>
    <mergeCell ref="M28:N28"/>
    <mergeCell ref="M15:N15"/>
  </mergeCells>
  <phoneticPr fontId="7" type="noConversion"/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1B15-B857-4A08-AC10-1B1AE740B117}">
  <dimension ref="A1:N51"/>
  <sheetViews>
    <sheetView topLeftCell="D33" workbookViewId="0">
      <selection activeCell="K57" sqref="K57"/>
    </sheetView>
  </sheetViews>
  <sheetFormatPr defaultRowHeight="14.4" x14ac:dyDescent="0.3"/>
  <cols>
    <col min="3" max="3" width="32.88671875" customWidth="1"/>
    <col min="5" max="5" width="10.33203125" customWidth="1"/>
    <col min="6" max="6" width="11.33203125" customWidth="1"/>
    <col min="7" max="7" width="10.6640625" customWidth="1"/>
    <col min="8" max="8" width="11.6640625" customWidth="1"/>
    <col min="9" max="9" width="10.44140625" customWidth="1"/>
    <col min="12" max="12" width="77.77734375" customWidth="1"/>
    <col min="13" max="13" width="25.77734375" customWidth="1"/>
    <col min="15" max="15" width="8.88671875" customWidth="1"/>
  </cols>
  <sheetData>
    <row r="1" spans="1:14" ht="18" x14ac:dyDescent="0.35">
      <c r="A1" s="106" t="s">
        <v>119</v>
      </c>
      <c r="B1" s="1"/>
      <c r="C1" s="30"/>
    </row>
    <row r="2" spans="1:14" x14ac:dyDescent="0.3">
      <c r="A2" t="s">
        <v>118</v>
      </c>
    </row>
    <row r="3" spans="1:14" x14ac:dyDescent="0.3">
      <c r="K3" s="220"/>
      <c r="L3" s="220"/>
      <c r="M3" s="220"/>
    </row>
    <row r="4" spans="1:14" ht="15" x14ac:dyDescent="0.3">
      <c r="C4" s="80" t="s">
        <v>120</v>
      </c>
      <c r="D4" s="81"/>
      <c r="E4" s="81"/>
      <c r="F4" s="81"/>
      <c r="G4" s="81"/>
      <c r="H4" s="81"/>
      <c r="I4" s="82"/>
      <c r="K4" s="336"/>
      <c r="L4" s="336"/>
      <c r="M4" s="334"/>
      <c r="N4" s="333"/>
    </row>
    <row r="5" spans="1:14" ht="42" customHeight="1" x14ac:dyDescent="0.3">
      <c r="C5" s="2"/>
      <c r="D5" s="76" t="s">
        <v>2</v>
      </c>
      <c r="E5" s="76" t="s">
        <v>123</v>
      </c>
      <c r="F5" s="76" t="s">
        <v>124</v>
      </c>
      <c r="G5" s="76" t="s">
        <v>125</v>
      </c>
      <c r="H5" s="76" t="s">
        <v>126</v>
      </c>
      <c r="I5" s="76" t="s">
        <v>127</v>
      </c>
      <c r="K5" s="328"/>
      <c r="L5" s="328"/>
      <c r="M5" s="334"/>
      <c r="N5" s="333"/>
    </row>
    <row r="6" spans="1:14" ht="15" customHeight="1" x14ac:dyDescent="0.3">
      <c r="C6" s="75" t="s">
        <v>121</v>
      </c>
      <c r="D6" s="47">
        <f>+PtX!I33</f>
        <v>0</v>
      </c>
      <c r="E6" s="60">
        <v>0</v>
      </c>
      <c r="F6" s="23">
        <f>D6*(1-E6)</f>
        <v>0</v>
      </c>
      <c r="G6" s="3"/>
      <c r="H6" s="3"/>
      <c r="I6" s="3"/>
      <c r="K6" s="334"/>
      <c r="L6" s="334"/>
      <c r="M6" s="334"/>
      <c r="N6" s="333"/>
    </row>
    <row r="7" spans="1:14" ht="24" customHeight="1" x14ac:dyDescent="0.3">
      <c r="C7" s="75" t="s">
        <v>122</v>
      </c>
      <c r="D7" s="57">
        <f>+PtX!I23+PtX!I9</f>
        <v>0</v>
      </c>
      <c r="E7" s="60">
        <v>0</v>
      </c>
      <c r="F7" s="23">
        <f>D7*(1-E7)</f>
        <v>0</v>
      </c>
      <c r="G7" s="3"/>
      <c r="H7" s="3"/>
      <c r="I7" s="3"/>
      <c r="K7" s="334"/>
      <c r="L7" s="334"/>
      <c r="M7" s="334"/>
      <c r="N7" s="333"/>
    </row>
    <row r="8" spans="1:14" x14ac:dyDescent="0.3">
      <c r="C8" s="75" t="s">
        <v>1</v>
      </c>
      <c r="D8" s="2">
        <f>SUM(D6:D7)</f>
        <v>0</v>
      </c>
      <c r="E8" s="3"/>
      <c r="F8" s="23">
        <f>SUM(F6:F7)</f>
        <v>0</v>
      </c>
      <c r="G8" s="67">
        <f>+'Wind and PVs'!I28</f>
        <v>0</v>
      </c>
      <c r="H8" s="67">
        <f>+'Wind and PVs'!I18</f>
        <v>0</v>
      </c>
      <c r="I8" s="269">
        <f>+F8-G8-H8</f>
        <v>0</v>
      </c>
      <c r="K8" s="334"/>
      <c r="L8" s="334"/>
      <c r="M8" s="334"/>
      <c r="N8" s="333"/>
    </row>
    <row r="9" spans="1:14" x14ac:dyDescent="0.3">
      <c r="K9" s="334"/>
      <c r="L9" s="334"/>
      <c r="M9" s="334"/>
      <c r="N9" s="333"/>
    </row>
    <row r="10" spans="1:14" ht="18" x14ac:dyDescent="0.35">
      <c r="A10" s="106" t="s">
        <v>128</v>
      </c>
      <c r="C10" s="30"/>
      <c r="K10" s="334"/>
      <c r="L10" s="334"/>
      <c r="M10" s="334"/>
      <c r="N10" s="333"/>
    </row>
    <row r="11" spans="1:14" x14ac:dyDescent="0.3">
      <c r="K11" s="334"/>
      <c r="L11" s="334"/>
      <c r="M11" s="334"/>
      <c r="N11" s="333"/>
    </row>
    <row r="12" spans="1:14" x14ac:dyDescent="0.3">
      <c r="K12" s="334"/>
      <c r="L12" s="334"/>
      <c r="M12" s="334"/>
      <c r="N12" s="333"/>
    </row>
    <row r="13" spans="1:14" ht="28.8" x14ac:dyDescent="0.3">
      <c r="C13" s="18" t="s">
        <v>129</v>
      </c>
      <c r="D13" s="19"/>
      <c r="E13" s="19"/>
      <c r="F13" s="83" t="s">
        <v>143</v>
      </c>
      <c r="G13" s="84"/>
      <c r="H13" s="43" t="s">
        <v>144</v>
      </c>
      <c r="I13" s="83" t="s">
        <v>2</v>
      </c>
      <c r="K13" s="336"/>
      <c r="L13" s="336"/>
      <c r="M13" s="330"/>
      <c r="N13" s="333"/>
    </row>
    <row r="14" spans="1:14" ht="15" x14ac:dyDescent="0.3">
      <c r="C14" s="9" t="s">
        <v>130</v>
      </c>
      <c r="D14" s="10"/>
      <c r="E14" s="10"/>
      <c r="F14" s="21">
        <v>1.3769999999999999E-2</v>
      </c>
      <c r="G14" s="13" t="s">
        <v>142</v>
      </c>
      <c r="H14" s="40">
        <v>0</v>
      </c>
      <c r="I14" s="22">
        <f>+F14*H14</f>
        <v>0</v>
      </c>
      <c r="K14" s="328"/>
      <c r="L14" s="329"/>
      <c r="M14" s="330"/>
      <c r="N14" s="333"/>
    </row>
    <row r="15" spans="1:14" ht="18" customHeight="1" x14ac:dyDescent="0.3">
      <c r="C15" s="9" t="s">
        <v>131</v>
      </c>
      <c r="D15" s="10"/>
      <c r="E15" s="10"/>
      <c r="F15" s="12">
        <v>7.6499999999999999E-2</v>
      </c>
      <c r="G15" s="13" t="s">
        <v>142</v>
      </c>
      <c r="H15" s="40">
        <v>0</v>
      </c>
      <c r="I15" s="22">
        <f>+F15*H15</f>
        <v>0</v>
      </c>
      <c r="K15" s="328"/>
      <c r="L15" s="328"/>
      <c r="M15" s="331"/>
      <c r="N15" s="333"/>
    </row>
    <row r="16" spans="1:14" ht="19.2" customHeight="1" x14ac:dyDescent="0.3">
      <c r="C16" s="9" t="s">
        <v>133</v>
      </c>
      <c r="D16" s="10"/>
      <c r="E16" s="10"/>
      <c r="F16" s="12">
        <v>3.9627000000000003</v>
      </c>
      <c r="G16" s="13" t="s">
        <v>30</v>
      </c>
      <c r="H16" s="40">
        <v>0</v>
      </c>
      <c r="I16" s="22">
        <f>+F16*H16</f>
        <v>0</v>
      </c>
      <c r="K16" s="328"/>
      <c r="L16" s="328"/>
      <c r="M16" s="331"/>
      <c r="N16" s="333"/>
    </row>
    <row r="17" spans="1:14" ht="18.600000000000001" customHeight="1" x14ac:dyDescent="0.3">
      <c r="C17" s="14" t="s">
        <v>132</v>
      </c>
      <c r="D17" s="15"/>
      <c r="E17" s="15"/>
      <c r="F17" s="16">
        <v>3.9627000000000003</v>
      </c>
      <c r="G17" s="17" t="s">
        <v>30</v>
      </c>
      <c r="H17" s="40">
        <v>0</v>
      </c>
      <c r="I17" s="22">
        <f>+F17*H17</f>
        <v>0</v>
      </c>
      <c r="K17" s="328"/>
      <c r="L17" s="328"/>
      <c r="M17" s="331"/>
      <c r="N17" s="333"/>
    </row>
    <row r="18" spans="1:14" x14ac:dyDescent="0.3">
      <c r="C18" s="18" t="s">
        <v>134</v>
      </c>
      <c r="D18" s="19"/>
      <c r="E18" s="19"/>
      <c r="F18" s="20"/>
      <c r="G18" s="10"/>
      <c r="H18" s="2"/>
      <c r="I18" s="270">
        <f>SUM(I14:I17)</f>
        <v>0</v>
      </c>
      <c r="K18" s="328"/>
      <c r="L18" s="328"/>
      <c r="M18" s="331"/>
      <c r="N18" s="333"/>
    </row>
    <row r="19" spans="1:14" ht="54" customHeight="1" x14ac:dyDescent="0.3">
      <c r="K19" s="328"/>
      <c r="L19" s="328"/>
      <c r="M19" s="331"/>
      <c r="N19" s="333"/>
    </row>
    <row r="20" spans="1:14" ht="57" customHeight="1" x14ac:dyDescent="0.35">
      <c r="A20" s="106" t="s">
        <v>148</v>
      </c>
      <c r="C20" s="30"/>
      <c r="K20" s="328"/>
      <c r="L20" s="328"/>
      <c r="M20" s="331"/>
      <c r="N20" s="333"/>
    </row>
    <row r="21" spans="1:14" x14ac:dyDescent="0.3">
      <c r="C21" s="18" t="s">
        <v>135</v>
      </c>
      <c r="D21" s="10"/>
      <c r="E21" s="10"/>
      <c r="F21" s="11"/>
      <c r="G21" s="85" t="s">
        <v>145</v>
      </c>
      <c r="H21" s="33"/>
      <c r="I21" s="28" t="s">
        <v>146</v>
      </c>
      <c r="K21" s="328"/>
      <c r="L21" s="328"/>
      <c r="M21" s="331"/>
      <c r="N21" s="333"/>
    </row>
    <row r="22" spans="1:14" ht="17.399999999999999" customHeight="1" x14ac:dyDescent="0.3">
      <c r="C22" s="86" t="s">
        <v>136</v>
      </c>
      <c r="D22" s="87"/>
      <c r="E22" s="87"/>
      <c r="F22" s="88"/>
      <c r="G22" s="12">
        <f>(2.3*3000*3.6/1000)</f>
        <v>24.839999999999996</v>
      </c>
      <c r="H22" s="28" t="s">
        <v>146</v>
      </c>
      <c r="I22" s="59"/>
      <c r="K22" s="328"/>
      <c r="L22" s="328"/>
      <c r="M22" s="331"/>
      <c r="N22" s="333"/>
    </row>
    <row r="23" spans="1:14" x14ac:dyDescent="0.3">
      <c r="C23" s="9" t="s">
        <v>137</v>
      </c>
      <c r="D23" s="10"/>
      <c r="E23" s="10"/>
      <c r="F23" s="11"/>
      <c r="G23" s="12">
        <f>(3.5*3000*3.6/1000)</f>
        <v>37.799999999999997</v>
      </c>
      <c r="H23" s="28" t="s">
        <v>146</v>
      </c>
      <c r="I23" s="59"/>
      <c r="K23" s="328"/>
      <c r="L23" s="328"/>
      <c r="M23" s="331"/>
      <c r="N23" s="333"/>
    </row>
    <row r="24" spans="1:14" ht="16.8" customHeight="1" x14ac:dyDescent="0.3">
      <c r="C24" s="9" t="s">
        <v>138</v>
      </c>
      <c r="D24" s="10"/>
      <c r="E24" s="10"/>
      <c r="F24" s="11"/>
      <c r="G24" s="12">
        <f>(3.5*3400*3.6/1000)</f>
        <v>42.84</v>
      </c>
      <c r="H24" s="28" t="s">
        <v>146</v>
      </c>
      <c r="I24" s="59"/>
      <c r="K24" s="328"/>
      <c r="L24" s="328"/>
      <c r="M24" s="331"/>
      <c r="N24" s="333"/>
    </row>
    <row r="25" spans="1:14" x14ac:dyDescent="0.3">
      <c r="C25" s="9" t="s">
        <v>139</v>
      </c>
      <c r="D25" s="10"/>
      <c r="E25" s="10"/>
      <c r="F25" s="11"/>
      <c r="G25" s="12">
        <f>(4.2*3000*3.6/1000)</f>
        <v>45.36</v>
      </c>
      <c r="H25" s="28" t="s">
        <v>146</v>
      </c>
      <c r="I25" s="59"/>
      <c r="K25" s="334"/>
      <c r="L25" s="334"/>
      <c r="M25" s="334"/>
      <c r="N25" s="333"/>
    </row>
    <row r="26" spans="1:14" x14ac:dyDescent="0.3">
      <c r="C26" s="9" t="s">
        <v>140</v>
      </c>
      <c r="D26" s="10"/>
      <c r="E26" s="10"/>
      <c r="F26" s="11"/>
      <c r="G26" s="12">
        <f>(4.2*3700*3.6/1000)</f>
        <v>55.944000000000003</v>
      </c>
      <c r="H26" s="28" t="s">
        <v>146</v>
      </c>
      <c r="I26" s="59"/>
      <c r="K26" s="334"/>
      <c r="L26" s="334"/>
      <c r="M26" s="334"/>
      <c r="N26" s="333"/>
    </row>
    <row r="27" spans="1:14" x14ac:dyDescent="0.3">
      <c r="C27" s="29" t="s">
        <v>141</v>
      </c>
      <c r="D27" s="10"/>
      <c r="E27" s="10"/>
      <c r="F27" s="11"/>
      <c r="G27" s="27"/>
      <c r="H27" s="28" t="s">
        <v>146</v>
      </c>
      <c r="I27" s="27">
        <f>SUM(I22:I26)</f>
        <v>0</v>
      </c>
      <c r="K27" s="334"/>
      <c r="L27" s="334"/>
      <c r="M27" s="334"/>
      <c r="N27" s="333"/>
    </row>
    <row r="28" spans="1:14" x14ac:dyDescent="0.3">
      <c r="C28" s="18" t="s">
        <v>147</v>
      </c>
      <c r="D28" s="19"/>
      <c r="E28" s="19"/>
      <c r="F28" s="19"/>
      <c r="G28" s="19"/>
      <c r="H28" s="89" t="s">
        <v>2</v>
      </c>
      <c r="I28" s="50">
        <f>SUMPRODUCT(G22:G26,I22:I26)</f>
        <v>0</v>
      </c>
      <c r="K28" s="334"/>
      <c r="L28" s="334"/>
      <c r="M28" s="334"/>
      <c r="N28" s="333"/>
    </row>
    <row r="29" spans="1:14" ht="15" x14ac:dyDescent="0.3">
      <c r="K29" s="336"/>
      <c r="L29" s="336"/>
      <c r="M29" s="330"/>
      <c r="N29" s="333"/>
    </row>
    <row r="30" spans="1:14" x14ac:dyDescent="0.3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328"/>
      <c r="L30" s="331"/>
      <c r="M30" s="331"/>
      <c r="N30" s="333"/>
    </row>
    <row r="31" spans="1:14" x14ac:dyDescent="0.3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328"/>
      <c r="L31" s="331"/>
      <c r="M31" s="331"/>
      <c r="N31" s="333"/>
    </row>
    <row r="32" spans="1:14" x14ac:dyDescent="0.3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334"/>
      <c r="L32" s="334"/>
      <c r="M32" s="334"/>
      <c r="N32" s="333"/>
    </row>
    <row r="33" spans="1:14" x14ac:dyDescent="0.3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334"/>
      <c r="L33" s="334"/>
      <c r="M33" s="334"/>
      <c r="N33" s="333"/>
    </row>
    <row r="34" spans="1:14" x14ac:dyDescent="0.3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334"/>
      <c r="L34" s="334"/>
      <c r="M34" s="334"/>
      <c r="N34" s="333"/>
    </row>
    <row r="35" spans="1:14" x14ac:dyDescent="0.3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334"/>
      <c r="L35" s="334"/>
      <c r="M35" s="334"/>
      <c r="N35" s="333"/>
    </row>
    <row r="36" spans="1:14" x14ac:dyDescent="0.3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334"/>
      <c r="L36" s="334"/>
      <c r="M36" s="334"/>
      <c r="N36" s="333"/>
    </row>
    <row r="37" spans="1:14" x14ac:dyDescent="0.3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334"/>
      <c r="L37" s="334"/>
      <c r="M37" s="334"/>
      <c r="N37" s="333"/>
    </row>
    <row r="38" spans="1:14" x14ac:dyDescent="0.3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334"/>
      <c r="L38" s="334"/>
      <c r="M38" s="334"/>
      <c r="N38" s="333"/>
    </row>
    <row r="39" spans="1:14" x14ac:dyDescent="0.3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334"/>
      <c r="L39" s="334"/>
      <c r="M39" s="334"/>
      <c r="N39" s="333"/>
    </row>
    <row r="40" spans="1:14" x14ac:dyDescent="0.3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334"/>
      <c r="L40" s="334"/>
      <c r="M40" s="334"/>
      <c r="N40" s="333"/>
    </row>
    <row r="41" spans="1:14" x14ac:dyDescent="0.3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334"/>
      <c r="L41" s="334"/>
      <c r="M41" s="334"/>
      <c r="N41" s="333"/>
    </row>
    <row r="42" spans="1:14" x14ac:dyDescent="0.3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334"/>
      <c r="L42" s="334"/>
      <c r="M42" s="334"/>
      <c r="N42" s="333"/>
    </row>
    <row r="43" spans="1:14" x14ac:dyDescent="0.3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334"/>
      <c r="L43" s="334"/>
      <c r="M43" s="334"/>
      <c r="N43" s="333"/>
    </row>
    <row r="44" spans="1:14" x14ac:dyDescent="0.3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334"/>
      <c r="L44" s="334"/>
      <c r="M44" s="334"/>
      <c r="N44" s="333"/>
    </row>
    <row r="45" spans="1:14" x14ac:dyDescent="0.3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334"/>
      <c r="L45" s="334"/>
      <c r="M45" s="334"/>
      <c r="N45" s="333"/>
    </row>
    <row r="46" spans="1:14" x14ac:dyDescent="0.3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334"/>
      <c r="L46" s="334"/>
      <c r="M46" s="334"/>
      <c r="N46" s="333"/>
    </row>
    <row r="47" spans="1:14" x14ac:dyDescent="0.3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334"/>
      <c r="L47" s="334"/>
      <c r="M47" s="334"/>
      <c r="N47" s="333"/>
    </row>
    <row r="48" spans="1:14" x14ac:dyDescent="0.3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334"/>
      <c r="L48" s="334"/>
      <c r="M48" s="334"/>
      <c r="N48" s="333"/>
    </row>
    <row r="49" spans="1:13" x14ac:dyDescent="0.3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</row>
    <row r="50" spans="1:13" x14ac:dyDescent="0.3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</row>
    <row r="51" spans="1:13" x14ac:dyDescent="0.3">
      <c r="A51" s="220"/>
      <c r="B51" s="220"/>
      <c r="C51" s="220"/>
      <c r="D51" s="220"/>
      <c r="E51" s="220"/>
      <c r="F51" s="220"/>
      <c r="G51" s="220"/>
      <c r="H51" s="220"/>
      <c r="I51" s="220"/>
      <c r="J51" s="220"/>
    </row>
  </sheetData>
  <mergeCells count="3">
    <mergeCell ref="K4:L4"/>
    <mergeCell ref="K13:L13"/>
    <mergeCell ref="K29:L29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134A0-B0BB-47AF-A932-14F893C71728}">
  <dimension ref="A1:M47"/>
  <sheetViews>
    <sheetView topLeftCell="A23" workbookViewId="0">
      <selection activeCell="B23" sqref="B23:I47"/>
    </sheetView>
  </sheetViews>
  <sheetFormatPr defaultRowHeight="14.4" x14ac:dyDescent="0.3"/>
  <cols>
    <col min="7" max="7" width="10.33203125" bestFit="1" customWidth="1"/>
    <col min="8" max="8" width="14.6640625" customWidth="1"/>
    <col min="9" max="9" width="13.44140625" customWidth="1"/>
    <col min="11" max="11" width="40.21875" customWidth="1"/>
    <col min="12" max="12" width="28" customWidth="1"/>
  </cols>
  <sheetData>
    <row r="1" spans="1:13" ht="18" x14ac:dyDescent="0.35">
      <c r="A1" s="106" t="s">
        <v>40</v>
      </c>
    </row>
    <row r="3" spans="1:13" x14ac:dyDescent="0.3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x14ac:dyDescent="0.3">
      <c r="B4" s="317" t="s">
        <v>149</v>
      </c>
      <c r="C4" s="317"/>
      <c r="D4" s="317"/>
      <c r="E4" s="317"/>
      <c r="F4" s="317"/>
      <c r="G4" s="317"/>
      <c r="H4" s="317"/>
      <c r="I4" s="221"/>
      <c r="J4" s="218"/>
      <c r="K4" s="218"/>
      <c r="L4" s="218"/>
      <c r="M4" s="218"/>
    </row>
    <row r="5" spans="1:13" x14ac:dyDescent="0.3">
      <c r="B5" s="237"/>
      <c r="C5" s="221"/>
      <c r="D5" s="221"/>
      <c r="E5" s="220"/>
      <c r="F5" s="221"/>
      <c r="G5" s="221"/>
      <c r="H5" s="236" t="s">
        <v>2</v>
      </c>
      <c r="I5" s="221"/>
      <c r="J5" s="218"/>
      <c r="K5" s="218"/>
      <c r="L5" s="218"/>
      <c r="M5" s="218"/>
    </row>
    <row r="6" spans="1:13" x14ac:dyDescent="0.3">
      <c r="B6" s="226" t="s">
        <v>150</v>
      </c>
      <c r="C6" s="227"/>
      <c r="D6" s="227"/>
      <c r="E6" s="227"/>
      <c r="F6" s="227"/>
      <c r="G6" s="228"/>
      <c r="H6" s="229">
        <f>+PtX!I13+PtX!I25</f>
        <v>0</v>
      </c>
      <c r="I6" s="221"/>
      <c r="J6" s="218"/>
      <c r="K6" s="218"/>
      <c r="L6" s="218"/>
      <c r="M6" s="218"/>
    </row>
    <row r="7" spans="1:13" x14ac:dyDescent="0.3">
      <c r="B7" s="226" t="s">
        <v>151</v>
      </c>
      <c r="C7" s="227"/>
      <c r="D7" s="227"/>
      <c r="E7" s="227"/>
      <c r="F7" s="227"/>
      <c r="G7" s="228"/>
      <c r="H7" s="271">
        <f>+PtX!I34</f>
        <v>0</v>
      </c>
      <c r="I7" s="221"/>
      <c r="J7" s="218"/>
      <c r="K7" s="218"/>
      <c r="L7" s="218"/>
      <c r="M7" s="218"/>
    </row>
    <row r="8" spans="1:13" x14ac:dyDescent="0.3">
      <c r="B8" s="223" t="s">
        <v>152</v>
      </c>
      <c r="C8" s="224"/>
      <c r="D8" s="224"/>
      <c r="E8" s="224"/>
      <c r="F8" s="224"/>
      <c r="G8" s="225"/>
      <c r="H8" s="230">
        <f>+H6-H7</f>
        <v>0</v>
      </c>
      <c r="I8" s="221"/>
      <c r="J8" s="218"/>
      <c r="K8" s="218"/>
      <c r="L8" s="218"/>
      <c r="M8" s="218"/>
    </row>
    <row r="9" spans="1:13" x14ac:dyDescent="0.3">
      <c r="B9" s="223" t="s">
        <v>153</v>
      </c>
      <c r="C9" s="224"/>
      <c r="D9" s="224"/>
      <c r="E9" s="224"/>
      <c r="F9" s="224"/>
      <c r="G9" s="225"/>
      <c r="H9" s="231">
        <f>+H8/12*5</f>
        <v>0</v>
      </c>
      <c r="I9" s="221"/>
      <c r="J9" s="218"/>
      <c r="K9" s="218"/>
      <c r="L9" s="218"/>
      <c r="M9" s="218"/>
    </row>
    <row r="10" spans="1:13" x14ac:dyDescent="0.3">
      <c r="B10" s="223" t="s">
        <v>154</v>
      </c>
      <c r="C10" s="224"/>
      <c r="D10" s="224"/>
      <c r="E10" s="224"/>
      <c r="F10" s="224"/>
      <c r="G10" s="225"/>
      <c r="H10" s="232">
        <v>0.27</v>
      </c>
      <c r="I10" s="319" t="s">
        <v>164</v>
      </c>
      <c r="J10" s="218"/>
      <c r="K10" s="218"/>
      <c r="L10" s="218"/>
      <c r="M10" s="218"/>
    </row>
    <row r="11" spans="1:13" x14ac:dyDescent="0.3">
      <c r="B11" s="223" t="s">
        <v>163</v>
      </c>
      <c r="C11" s="224"/>
      <c r="D11" s="224"/>
      <c r="E11" s="224"/>
      <c r="F11" s="224"/>
      <c r="G11" s="225"/>
      <c r="H11" s="240">
        <f>+H9*(1-H10)</f>
        <v>0</v>
      </c>
      <c r="I11" s="319"/>
      <c r="J11" s="218"/>
      <c r="K11" s="218"/>
      <c r="L11" s="218"/>
      <c r="M11" s="218"/>
    </row>
    <row r="12" spans="1:13" x14ac:dyDescent="0.3">
      <c r="B12" s="318" t="s">
        <v>155</v>
      </c>
      <c r="C12" s="318"/>
      <c r="D12" s="318"/>
      <c r="E12" s="318"/>
      <c r="F12" s="318"/>
      <c r="G12" s="318"/>
      <c r="H12" s="77">
        <f>(+H8/12*7+H11)*I12</f>
        <v>0</v>
      </c>
      <c r="I12" s="241">
        <v>1</v>
      </c>
      <c r="J12" s="218"/>
      <c r="K12" s="218"/>
      <c r="L12" s="218"/>
      <c r="M12" s="218"/>
    </row>
    <row r="13" spans="1:13" x14ac:dyDescent="0.3">
      <c r="B13" s="222" t="s">
        <v>156</v>
      </c>
      <c r="C13" s="220"/>
      <c r="D13" s="220"/>
      <c r="E13" s="220"/>
      <c r="F13" s="220"/>
      <c r="G13" s="221"/>
      <c r="H13" s="220"/>
      <c r="I13" s="220"/>
      <c r="J13" s="218"/>
      <c r="K13" s="218"/>
      <c r="L13" s="218"/>
      <c r="M13" s="218"/>
    </row>
    <row r="14" spans="1:13" x14ac:dyDescent="0.3">
      <c r="B14" s="314"/>
      <c r="C14" s="315"/>
      <c r="D14" s="315"/>
      <c r="E14" s="315"/>
      <c r="F14" s="316"/>
      <c r="G14" s="229" t="s">
        <v>166</v>
      </c>
      <c r="H14" s="233" t="s">
        <v>165</v>
      </c>
      <c r="I14" s="220"/>
      <c r="J14" s="218"/>
      <c r="K14" s="218"/>
      <c r="L14" s="218"/>
      <c r="M14" s="218"/>
    </row>
    <row r="15" spans="1:13" ht="16.2" x14ac:dyDescent="0.3">
      <c r="A15" s="1"/>
      <c r="B15" s="314" t="s">
        <v>157</v>
      </c>
      <c r="C15" s="315"/>
      <c r="D15" s="315"/>
      <c r="E15" s="315"/>
      <c r="F15" s="316"/>
      <c r="G15" s="229">
        <v>33</v>
      </c>
      <c r="H15" s="229">
        <f>+G15</f>
        <v>33</v>
      </c>
      <c r="I15" s="221"/>
      <c r="J15" s="218"/>
      <c r="K15" s="218"/>
      <c r="L15" s="218"/>
      <c r="M15" s="218"/>
    </row>
    <row r="16" spans="1:13" ht="16.2" x14ac:dyDescent="0.3">
      <c r="B16" s="314" t="s">
        <v>158</v>
      </c>
      <c r="C16" s="315"/>
      <c r="D16" s="315"/>
      <c r="E16" s="315"/>
      <c r="F16" s="316"/>
      <c r="G16" s="239">
        <v>19000</v>
      </c>
      <c r="H16" s="238">
        <f>+H9/G18*G16</f>
        <v>0</v>
      </c>
      <c r="I16" s="221"/>
      <c r="J16" s="218"/>
      <c r="K16" s="218"/>
      <c r="L16" s="218"/>
      <c r="M16" s="218"/>
    </row>
    <row r="17" spans="2:13" x14ac:dyDescent="0.3">
      <c r="B17" s="314" t="s">
        <v>159</v>
      </c>
      <c r="C17" s="315"/>
      <c r="D17" s="315"/>
      <c r="E17" s="315"/>
      <c r="F17" s="316"/>
      <c r="G17" s="68">
        <f>+G15*G16/1000</f>
        <v>627</v>
      </c>
      <c r="H17" s="230">
        <f>+H15*H16/1000</f>
        <v>0</v>
      </c>
      <c r="I17" s="221"/>
      <c r="J17" s="218"/>
      <c r="K17" s="218"/>
      <c r="L17" s="218"/>
      <c r="M17" s="218"/>
    </row>
    <row r="18" spans="2:13" x14ac:dyDescent="0.3">
      <c r="B18" s="314" t="s">
        <v>160</v>
      </c>
      <c r="C18" s="315"/>
      <c r="D18" s="315"/>
      <c r="E18" s="315"/>
      <c r="F18" s="316"/>
      <c r="G18" s="235">
        <f>+G17/278</f>
        <v>2.2553956834532376</v>
      </c>
      <c r="H18" s="231">
        <f>+H17/278</f>
        <v>0</v>
      </c>
      <c r="I18" s="221"/>
      <c r="J18" s="218"/>
      <c r="K18" s="218"/>
      <c r="L18" s="218"/>
      <c r="M18" s="218"/>
    </row>
    <row r="19" spans="2:13" x14ac:dyDescent="0.3">
      <c r="B19" s="314"/>
      <c r="C19" s="315"/>
      <c r="D19" s="315"/>
      <c r="E19" s="315"/>
      <c r="F19" s="316"/>
      <c r="G19" s="229"/>
      <c r="H19" s="229"/>
      <c r="I19" s="221"/>
      <c r="J19" s="218"/>
      <c r="K19" s="218"/>
      <c r="L19" s="218"/>
      <c r="M19" s="218"/>
    </row>
    <row r="20" spans="2:13" x14ac:dyDescent="0.3">
      <c r="B20" s="314" t="s">
        <v>161</v>
      </c>
      <c r="C20" s="315"/>
      <c r="D20" s="315"/>
      <c r="E20" s="315"/>
      <c r="F20" s="316"/>
      <c r="G20" s="229">
        <f>625/10000</f>
        <v>6.25E-2</v>
      </c>
      <c r="H20" s="234">
        <f>+G20/G18*H18</f>
        <v>0</v>
      </c>
      <c r="I20" s="221"/>
      <c r="J20" s="218"/>
      <c r="K20" s="218"/>
      <c r="L20" s="218"/>
      <c r="M20" s="218"/>
    </row>
    <row r="21" spans="2:13" x14ac:dyDescent="0.3">
      <c r="B21" s="219" t="s">
        <v>162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</row>
    <row r="22" spans="2:13" x14ac:dyDescent="0.3">
      <c r="B22" s="218"/>
      <c r="C22" s="218"/>
      <c r="D22" s="218"/>
      <c r="E22" s="218"/>
      <c r="F22" s="218"/>
      <c r="G22" s="218"/>
      <c r="H22" s="218"/>
      <c r="I22" s="218"/>
      <c r="J22" s="323"/>
      <c r="K22" s="323"/>
      <c r="L22" s="335"/>
      <c r="M22" s="218"/>
    </row>
    <row r="23" spans="2:13" x14ac:dyDescent="0.3">
      <c r="B23" s="221"/>
      <c r="C23" s="221"/>
      <c r="D23" s="221"/>
      <c r="E23" s="221"/>
      <c r="F23" s="221"/>
      <c r="G23" s="221"/>
      <c r="H23" s="221"/>
      <c r="I23" s="221"/>
      <c r="J23" s="323"/>
      <c r="K23" s="323"/>
      <c r="L23" s="335"/>
      <c r="M23" s="218"/>
    </row>
    <row r="24" spans="2:13" x14ac:dyDescent="0.3">
      <c r="B24" s="221"/>
      <c r="C24" s="221"/>
      <c r="D24" s="221"/>
      <c r="E24" s="221"/>
      <c r="F24" s="221"/>
      <c r="G24" s="221"/>
      <c r="H24" s="221"/>
      <c r="I24" s="221"/>
      <c r="J24" s="323"/>
      <c r="K24" s="323"/>
      <c r="L24" s="335"/>
      <c r="M24" s="218"/>
    </row>
    <row r="25" spans="2:13" x14ac:dyDescent="0.3">
      <c r="B25" s="220"/>
      <c r="C25" s="220"/>
      <c r="D25" s="220"/>
      <c r="E25" s="220"/>
      <c r="F25" s="220"/>
      <c r="G25" s="220"/>
      <c r="H25" s="220"/>
      <c r="I25" s="220"/>
      <c r="J25" s="323"/>
      <c r="K25" s="323"/>
      <c r="L25" s="333"/>
    </row>
    <row r="26" spans="2:13" x14ac:dyDescent="0.3">
      <c r="B26" s="220"/>
      <c r="C26" s="220"/>
      <c r="D26" s="220"/>
      <c r="E26" s="220"/>
      <c r="F26" s="220"/>
      <c r="G26" s="220"/>
      <c r="H26" s="220"/>
      <c r="I26" s="220"/>
      <c r="J26" s="323"/>
      <c r="K26" s="323"/>
      <c r="L26" s="333"/>
    </row>
    <row r="27" spans="2:13" x14ac:dyDescent="0.3">
      <c r="B27" s="220"/>
      <c r="C27" s="220"/>
      <c r="D27" s="220"/>
      <c r="E27" s="220"/>
      <c r="F27" s="220"/>
      <c r="G27" s="220"/>
      <c r="H27" s="220"/>
      <c r="I27" s="220"/>
      <c r="J27" s="333"/>
      <c r="K27" s="333"/>
      <c r="L27" s="333"/>
    </row>
    <row r="28" spans="2:13" x14ac:dyDescent="0.3">
      <c r="B28" s="220"/>
      <c r="C28" s="220"/>
      <c r="D28" s="220"/>
      <c r="E28" s="220"/>
      <c r="F28" s="220"/>
      <c r="G28" s="220"/>
      <c r="H28" s="220"/>
      <c r="I28" s="220"/>
      <c r="J28" s="333"/>
      <c r="K28" s="333"/>
      <c r="L28" s="333"/>
    </row>
    <row r="29" spans="2:13" x14ac:dyDescent="0.3">
      <c r="B29" s="220"/>
      <c r="C29" s="220"/>
      <c r="D29" s="220"/>
      <c r="E29" s="220"/>
      <c r="F29" s="220"/>
      <c r="G29" s="220"/>
      <c r="H29" s="220"/>
      <c r="I29" s="220"/>
      <c r="J29" s="333"/>
      <c r="K29" s="333"/>
      <c r="L29" s="333"/>
    </row>
    <row r="30" spans="2:13" x14ac:dyDescent="0.3">
      <c r="B30" s="220"/>
      <c r="C30" s="220"/>
      <c r="D30" s="220"/>
      <c r="E30" s="220"/>
      <c r="F30" s="220"/>
      <c r="G30" s="220"/>
      <c r="H30" s="220"/>
      <c r="I30" s="220"/>
      <c r="J30" s="333"/>
      <c r="K30" s="333"/>
      <c r="L30" s="333"/>
    </row>
    <row r="31" spans="2:13" x14ac:dyDescent="0.3">
      <c r="B31" s="220"/>
      <c r="C31" s="220"/>
      <c r="D31" s="220"/>
      <c r="E31" s="220"/>
      <c r="F31" s="220"/>
      <c r="G31" s="220"/>
      <c r="H31" s="220"/>
      <c r="I31" s="220"/>
      <c r="J31" s="333"/>
      <c r="K31" s="333"/>
      <c r="L31" s="333"/>
    </row>
    <row r="32" spans="2:13" x14ac:dyDescent="0.3">
      <c r="B32" s="220"/>
      <c r="C32" s="220"/>
      <c r="D32" s="220"/>
      <c r="E32" s="220"/>
      <c r="F32" s="220"/>
      <c r="G32" s="220"/>
      <c r="H32" s="220"/>
      <c r="I32" s="220"/>
      <c r="J32" s="333"/>
      <c r="K32" s="333"/>
      <c r="L32" s="333"/>
    </row>
    <row r="33" spans="1:12" x14ac:dyDescent="0.3">
      <c r="B33" s="220"/>
      <c r="C33" s="220"/>
      <c r="D33" s="220"/>
      <c r="E33" s="220"/>
      <c r="F33" s="220"/>
      <c r="G33" s="220"/>
      <c r="H33" s="220"/>
      <c r="I33" s="220"/>
      <c r="J33" s="333"/>
      <c r="K33" s="333"/>
      <c r="L33" s="333"/>
    </row>
    <row r="34" spans="1:12" x14ac:dyDescent="0.3">
      <c r="B34" s="220"/>
      <c r="C34" s="220"/>
      <c r="D34" s="220"/>
      <c r="E34" s="220"/>
      <c r="F34" s="220"/>
      <c r="G34" s="220"/>
      <c r="H34" s="220"/>
      <c r="I34" s="220"/>
    </row>
    <row r="35" spans="1:12" x14ac:dyDescent="0.3">
      <c r="B35" s="220"/>
      <c r="C35" s="220"/>
      <c r="D35" s="220"/>
      <c r="E35" s="220"/>
      <c r="F35" s="220"/>
      <c r="G35" s="220"/>
      <c r="H35" s="220"/>
      <c r="I35" s="220"/>
    </row>
    <row r="36" spans="1:12" x14ac:dyDescent="0.3">
      <c r="B36" s="220"/>
      <c r="C36" s="220"/>
      <c r="D36" s="220"/>
      <c r="E36" s="220"/>
      <c r="F36" s="220"/>
      <c r="G36" s="220"/>
      <c r="H36" s="220"/>
      <c r="I36" s="220"/>
    </row>
    <row r="37" spans="1:12" x14ac:dyDescent="0.3">
      <c r="A37" s="1"/>
      <c r="B37" s="332"/>
      <c r="C37" s="220"/>
      <c r="D37" s="220"/>
      <c r="E37" s="220"/>
      <c r="F37" s="220"/>
      <c r="G37" s="220"/>
      <c r="H37" s="220"/>
      <c r="I37" s="220"/>
    </row>
    <row r="38" spans="1:12" x14ac:dyDescent="0.3">
      <c r="B38" s="220"/>
      <c r="C38" s="220"/>
      <c r="D38" s="220"/>
      <c r="E38" s="220"/>
      <c r="F38" s="220"/>
      <c r="G38" s="220"/>
      <c r="H38" s="220"/>
      <c r="I38" s="220"/>
    </row>
    <row r="39" spans="1:12" x14ac:dyDescent="0.3">
      <c r="B39" s="220"/>
      <c r="C39" s="220"/>
      <c r="D39" s="220"/>
      <c r="E39" s="220"/>
      <c r="F39" s="220"/>
      <c r="G39" s="220"/>
      <c r="H39" s="220"/>
      <c r="I39" s="220"/>
    </row>
    <row r="40" spans="1:12" x14ac:dyDescent="0.3">
      <c r="B40" s="220"/>
      <c r="C40" s="220"/>
      <c r="D40" s="220"/>
      <c r="E40" s="220"/>
      <c r="F40" s="220"/>
      <c r="G40" s="220"/>
      <c r="H40" s="220"/>
      <c r="I40" s="220"/>
    </row>
    <row r="41" spans="1:12" x14ac:dyDescent="0.3">
      <c r="B41" s="220"/>
      <c r="C41" s="220"/>
      <c r="D41" s="220"/>
      <c r="E41" s="220"/>
      <c r="F41" s="220"/>
      <c r="G41" s="220"/>
      <c r="H41" s="220"/>
      <c r="I41" s="220"/>
    </row>
    <row r="42" spans="1:12" x14ac:dyDescent="0.3">
      <c r="B42" s="220"/>
      <c r="C42" s="220"/>
      <c r="D42" s="220"/>
      <c r="E42" s="220"/>
      <c r="F42" s="220"/>
      <c r="G42" s="220"/>
      <c r="H42" s="220"/>
      <c r="I42" s="220"/>
    </row>
    <row r="43" spans="1:12" x14ac:dyDescent="0.3">
      <c r="B43" s="220"/>
      <c r="C43" s="220"/>
      <c r="D43" s="220"/>
      <c r="E43" s="220"/>
      <c r="F43" s="220"/>
      <c r="G43" s="220"/>
      <c r="H43" s="220"/>
      <c r="I43" s="220"/>
    </row>
    <row r="44" spans="1:12" x14ac:dyDescent="0.3">
      <c r="B44" s="220"/>
      <c r="C44" s="220"/>
      <c r="D44" s="220"/>
      <c r="E44" s="220"/>
      <c r="F44" s="220"/>
      <c r="G44" s="220"/>
      <c r="H44" s="220"/>
      <c r="I44" s="220"/>
    </row>
    <row r="45" spans="1:12" x14ac:dyDescent="0.3">
      <c r="B45" s="220"/>
      <c r="C45" s="220"/>
      <c r="D45" s="220"/>
      <c r="E45" s="220"/>
      <c r="F45" s="220"/>
      <c r="G45" s="220"/>
      <c r="H45" s="220"/>
      <c r="I45" s="220"/>
    </row>
    <row r="46" spans="1:12" x14ac:dyDescent="0.3">
      <c r="B46" s="220"/>
      <c r="C46" s="220"/>
      <c r="D46" s="220"/>
      <c r="E46" s="220"/>
      <c r="F46" s="220"/>
      <c r="G46" s="220"/>
      <c r="H46" s="220"/>
      <c r="I46" s="220"/>
    </row>
    <row r="47" spans="1:12" x14ac:dyDescent="0.3">
      <c r="B47" s="220"/>
      <c r="C47" s="220"/>
      <c r="D47" s="220"/>
      <c r="E47" s="220"/>
      <c r="F47" s="220"/>
      <c r="G47" s="220"/>
      <c r="H47" s="220"/>
      <c r="I47" s="220"/>
    </row>
  </sheetData>
  <mergeCells count="10">
    <mergeCell ref="I10:I11"/>
    <mergeCell ref="B14:F14"/>
    <mergeCell ref="B15:F15"/>
    <mergeCell ref="B16:F16"/>
    <mergeCell ref="B17:F17"/>
    <mergeCell ref="B18:F18"/>
    <mergeCell ref="B19:F19"/>
    <mergeCell ref="B20:F20"/>
    <mergeCell ref="B4:H4"/>
    <mergeCell ref="B12:G12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3BC68-FD13-4657-A7C2-093571EA6408}">
  <dimension ref="A1:I52"/>
  <sheetViews>
    <sheetView topLeftCell="A12" workbookViewId="0">
      <selection activeCell="C24" sqref="C24:I52"/>
    </sheetView>
  </sheetViews>
  <sheetFormatPr defaultRowHeight="14.4" x14ac:dyDescent="0.3"/>
  <cols>
    <col min="3" max="3" width="48.33203125" customWidth="1"/>
    <col min="4" max="4" width="19.88671875" customWidth="1"/>
    <col min="5" max="5" width="17.33203125" customWidth="1"/>
    <col min="8" max="8" width="11" bestFit="1" customWidth="1"/>
  </cols>
  <sheetData>
    <row r="1" spans="1:8" ht="21" x14ac:dyDescent="0.4">
      <c r="A1" s="300" t="s">
        <v>34</v>
      </c>
    </row>
    <row r="3" spans="1:8" ht="18.600000000000001" thickBot="1" x14ac:dyDescent="0.4">
      <c r="C3" s="106" t="s">
        <v>191</v>
      </c>
    </row>
    <row r="4" spans="1:8" ht="86.4" x14ac:dyDescent="0.3">
      <c r="C4" s="246" t="s">
        <v>171</v>
      </c>
      <c r="D4" s="247" t="s">
        <v>187</v>
      </c>
      <c r="E4" s="247" t="s">
        <v>167</v>
      </c>
      <c r="F4" s="248" t="s">
        <v>168</v>
      </c>
      <c r="G4" s="249" t="s">
        <v>169</v>
      </c>
      <c r="H4" s="250" t="s">
        <v>170</v>
      </c>
    </row>
    <row r="5" spans="1:8" x14ac:dyDescent="0.3">
      <c r="C5" s="251" t="s">
        <v>172</v>
      </c>
      <c r="D5" s="258"/>
      <c r="E5" s="148"/>
      <c r="F5" s="260">
        <f>IFERROR(+D5+E5,0)</f>
        <v>0</v>
      </c>
      <c r="G5" s="2">
        <v>200</v>
      </c>
      <c r="H5" s="252">
        <f>+E5*G5/1000</f>
        <v>0</v>
      </c>
    </row>
    <row r="6" spans="1:8" x14ac:dyDescent="0.3">
      <c r="C6" s="251" t="s">
        <v>173</v>
      </c>
      <c r="D6" s="258"/>
      <c r="E6" s="148"/>
      <c r="F6" s="260">
        <f t="shared" ref="F6:F21" si="0">IFERROR(+D6+E6,0)</f>
        <v>0</v>
      </c>
      <c r="G6" s="2">
        <v>170</v>
      </c>
      <c r="H6" s="252">
        <f t="shared" ref="H6:H21" si="1">+E6*G6/1000</f>
        <v>0</v>
      </c>
    </row>
    <row r="7" spans="1:8" x14ac:dyDescent="0.3">
      <c r="C7" s="251" t="s">
        <v>174</v>
      </c>
      <c r="D7" s="258"/>
      <c r="E7" s="148"/>
      <c r="F7" s="260">
        <f t="shared" si="0"/>
        <v>0</v>
      </c>
      <c r="G7" s="2">
        <v>158</v>
      </c>
      <c r="H7" s="252">
        <f t="shared" si="1"/>
        <v>0</v>
      </c>
    </row>
    <row r="8" spans="1:8" x14ac:dyDescent="0.3">
      <c r="C8" s="251" t="s">
        <v>175</v>
      </c>
      <c r="D8" s="258"/>
      <c r="E8" s="148"/>
      <c r="F8" s="260">
        <f t="shared" si="0"/>
        <v>0</v>
      </c>
      <c r="G8" s="2">
        <v>177</v>
      </c>
      <c r="H8" s="252">
        <f t="shared" si="1"/>
        <v>0</v>
      </c>
    </row>
    <row r="9" spans="1:8" x14ac:dyDescent="0.3">
      <c r="C9" s="251" t="s">
        <v>176</v>
      </c>
      <c r="D9" s="258"/>
      <c r="E9" s="148"/>
      <c r="F9" s="260">
        <f t="shared" si="0"/>
        <v>0</v>
      </c>
      <c r="G9" s="2">
        <v>150</v>
      </c>
      <c r="H9" s="252">
        <f t="shared" si="1"/>
        <v>0</v>
      </c>
    </row>
    <row r="10" spans="1:8" x14ac:dyDescent="0.3">
      <c r="C10" s="251" t="s">
        <v>177</v>
      </c>
      <c r="D10" s="258"/>
      <c r="E10" s="148"/>
      <c r="F10" s="260">
        <f t="shared" si="0"/>
        <v>0</v>
      </c>
      <c r="G10" s="2">
        <v>125</v>
      </c>
      <c r="H10" s="252">
        <f t="shared" si="1"/>
        <v>0</v>
      </c>
    </row>
    <row r="11" spans="1:8" x14ac:dyDescent="0.3">
      <c r="C11" s="251" t="s">
        <v>178</v>
      </c>
      <c r="D11" s="258"/>
      <c r="E11" s="148"/>
      <c r="F11" s="260">
        <f t="shared" si="0"/>
        <v>0</v>
      </c>
      <c r="G11" s="2">
        <v>185</v>
      </c>
      <c r="H11" s="252">
        <f t="shared" si="1"/>
        <v>0</v>
      </c>
    </row>
    <row r="12" spans="1:8" x14ac:dyDescent="0.3">
      <c r="C12" s="251" t="s">
        <v>185</v>
      </c>
      <c r="D12" s="258"/>
      <c r="E12" s="148"/>
      <c r="F12" s="260">
        <f t="shared" si="0"/>
        <v>0</v>
      </c>
      <c r="G12" s="2">
        <v>185</v>
      </c>
      <c r="H12" s="252">
        <f t="shared" si="1"/>
        <v>0</v>
      </c>
    </row>
    <row r="13" spans="1:8" x14ac:dyDescent="0.3">
      <c r="C13" s="251" t="s">
        <v>186</v>
      </c>
      <c r="D13" s="258"/>
      <c r="E13" s="148"/>
      <c r="F13" s="260">
        <f t="shared" si="0"/>
        <v>0</v>
      </c>
      <c r="G13" s="2">
        <v>180</v>
      </c>
      <c r="H13" s="252">
        <f t="shared" si="1"/>
        <v>0</v>
      </c>
    </row>
    <row r="14" spans="1:8" x14ac:dyDescent="0.3">
      <c r="C14" s="251" t="s">
        <v>179</v>
      </c>
      <c r="D14" s="258"/>
      <c r="E14" s="148"/>
      <c r="F14" s="260">
        <f t="shared" si="0"/>
        <v>0</v>
      </c>
      <c r="G14" s="2">
        <v>190</v>
      </c>
      <c r="H14" s="252">
        <f t="shared" si="1"/>
        <v>0</v>
      </c>
    </row>
    <row r="15" spans="1:8" x14ac:dyDescent="0.3">
      <c r="C15" s="251" t="s">
        <v>188</v>
      </c>
      <c r="D15" s="258"/>
      <c r="E15" s="148"/>
      <c r="F15" s="260">
        <f t="shared" si="0"/>
        <v>0</v>
      </c>
      <c r="G15" s="2">
        <v>0</v>
      </c>
      <c r="H15" s="252">
        <f t="shared" si="1"/>
        <v>0</v>
      </c>
    </row>
    <row r="16" spans="1:8" x14ac:dyDescent="0.3">
      <c r="C16" s="251" t="s">
        <v>180</v>
      </c>
      <c r="D16" s="258"/>
      <c r="E16" s="148"/>
      <c r="F16" s="260">
        <f t="shared" si="0"/>
        <v>0</v>
      </c>
      <c r="G16" s="2">
        <v>0</v>
      </c>
      <c r="H16" s="252">
        <f t="shared" si="1"/>
        <v>0</v>
      </c>
    </row>
    <row r="17" spans="2:9" x14ac:dyDescent="0.3">
      <c r="C17" s="251" t="s">
        <v>181</v>
      </c>
      <c r="D17" s="258"/>
      <c r="E17" s="148"/>
      <c r="F17" s="260">
        <f t="shared" si="0"/>
        <v>0</v>
      </c>
      <c r="G17" s="2">
        <v>135</v>
      </c>
      <c r="H17" s="252">
        <f t="shared" si="1"/>
        <v>0</v>
      </c>
    </row>
    <row r="18" spans="2:9" x14ac:dyDescent="0.3">
      <c r="C18" s="251" t="s">
        <v>182</v>
      </c>
      <c r="D18" s="258"/>
      <c r="E18" s="148"/>
      <c r="F18" s="260">
        <f t="shared" si="0"/>
        <v>0</v>
      </c>
      <c r="G18" s="2">
        <v>70</v>
      </c>
      <c r="H18" s="252">
        <f t="shared" si="1"/>
        <v>0</v>
      </c>
    </row>
    <row r="19" spans="2:9" x14ac:dyDescent="0.3">
      <c r="C19" s="251" t="s">
        <v>189</v>
      </c>
      <c r="D19" s="258"/>
      <c r="E19" s="148"/>
      <c r="F19" s="260">
        <f t="shared" si="0"/>
        <v>0</v>
      </c>
      <c r="G19" s="2">
        <v>300</v>
      </c>
      <c r="H19" s="252">
        <f t="shared" si="1"/>
        <v>0</v>
      </c>
    </row>
    <row r="20" spans="2:9" x14ac:dyDescent="0.3">
      <c r="C20" s="251" t="s">
        <v>183</v>
      </c>
      <c r="D20" s="258"/>
      <c r="E20" s="148"/>
      <c r="F20" s="260">
        <f t="shared" si="0"/>
        <v>0</v>
      </c>
      <c r="G20" s="2">
        <v>0</v>
      </c>
      <c r="H20" s="252">
        <f t="shared" si="1"/>
        <v>0</v>
      </c>
    </row>
    <row r="21" spans="2:9" ht="15" thickBot="1" x14ac:dyDescent="0.35">
      <c r="C21" s="253" t="s">
        <v>184</v>
      </c>
      <c r="D21" s="259"/>
      <c r="E21" s="254"/>
      <c r="F21" s="261">
        <f t="shared" si="0"/>
        <v>0</v>
      </c>
      <c r="G21" s="255">
        <v>170</v>
      </c>
      <c r="H21" s="256">
        <f t="shared" si="1"/>
        <v>0</v>
      </c>
    </row>
    <row r="22" spans="2:9" ht="15" thickBot="1" x14ac:dyDescent="0.35">
      <c r="C22" s="297" t="s">
        <v>190</v>
      </c>
      <c r="D22" s="298">
        <f>SUM(D14:D21)</f>
        <v>0</v>
      </c>
      <c r="E22" s="298">
        <f>SUM(E5:E21)</f>
        <v>0</v>
      </c>
      <c r="F22" s="298">
        <f t="shared" ref="F22" si="2">SUM(F14:F21)</f>
        <v>0</v>
      </c>
      <c r="G22" s="299"/>
      <c r="H22" s="257">
        <f>SUM(H5:H21)</f>
        <v>0</v>
      </c>
    </row>
    <row r="24" spans="2:9" x14ac:dyDescent="0.3">
      <c r="C24" s="220"/>
      <c r="D24" s="220"/>
      <c r="E24" s="220"/>
      <c r="F24" s="220"/>
      <c r="G24" s="220"/>
      <c r="H24" s="220"/>
      <c r="I24" s="220"/>
    </row>
    <row r="25" spans="2:9" ht="15" x14ac:dyDescent="0.3">
      <c r="B25" s="333"/>
      <c r="C25" s="329"/>
      <c r="D25" s="330"/>
      <c r="E25" s="334"/>
      <c r="F25" s="220"/>
      <c r="G25" s="220"/>
      <c r="H25" s="220"/>
      <c r="I25" s="220"/>
    </row>
    <row r="26" spans="2:9" x14ac:dyDescent="0.3">
      <c r="B26" s="323"/>
      <c r="C26" s="328"/>
      <c r="D26" s="331"/>
      <c r="E26" s="334"/>
      <c r="F26" s="220"/>
      <c r="G26" s="220"/>
      <c r="H26" s="220"/>
      <c r="I26" s="220"/>
    </row>
    <row r="27" spans="2:9" x14ac:dyDescent="0.3">
      <c r="B27" s="323"/>
      <c r="C27" s="328"/>
      <c r="D27" s="331"/>
      <c r="E27" s="334"/>
      <c r="F27" s="220"/>
      <c r="G27" s="220"/>
      <c r="H27" s="220"/>
      <c r="I27" s="220"/>
    </row>
    <row r="28" spans="2:9" x14ac:dyDescent="0.3">
      <c r="B28" s="323"/>
      <c r="C28" s="328"/>
      <c r="D28" s="331"/>
      <c r="E28" s="334"/>
      <c r="F28" s="220"/>
      <c r="G28" s="220"/>
      <c r="H28" s="220"/>
      <c r="I28" s="220"/>
    </row>
    <row r="29" spans="2:9" x14ac:dyDescent="0.3">
      <c r="B29" s="323"/>
      <c r="C29" s="328"/>
      <c r="D29" s="331"/>
      <c r="E29" s="334"/>
      <c r="F29" s="220"/>
      <c r="G29" s="220"/>
      <c r="H29" s="220"/>
      <c r="I29" s="220"/>
    </row>
    <row r="30" spans="2:9" x14ac:dyDescent="0.3">
      <c r="B30" s="323"/>
      <c r="C30" s="328"/>
      <c r="D30" s="331"/>
      <c r="E30" s="334"/>
      <c r="F30" s="220"/>
      <c r="G30" s="220"/>
      <c r="H30" s="220"/>
      <c r="I30" s="220"/>
    </row>
    <row r="31" spans="2:9" x14ac:dyDescent="0.3">
      <c r="B31" s="323"/>
      <c r="C31" s="328"/>
      <c r="D31" s="331"/>
      <c r="E31" s="334"/>
      <c r="F31" s="220"/>
      <c r="G31" s="220"/>
      <c r="H31" s="220"/>
      <c r="I31" s="220"/>
    </row>
    <row r="32" spans="2:9" x14ac:dyDescent="0.3">
      <c r="B32" s="323"/>
      <c r="C32" s="328"/>
      <c r="D32" s="331"/>
      <c r="E32" s="334"/>
      <c r="F32" s="220"/>
      <c r="G32" s="220"/>
      <c r="H32" s="220"/>
      <c r="I32" s="220"/>
    </row>
    <row r="33" spans="2:9" x14ac:dyDescent="0.3">
      <c r="B33" s="323"/>
      <c r="C33" s="328"/>
      <c r="D33" s="331"/>
      <c r="E33" s="334"/>
      <c r="F33" s="220"/>
      <c r="G33" s="220"/>
      <c r="H33" s="220"/>
      <c r="I33" s="220"/>
    </row>
    <row r="34" spans="2:9" x14ac:dyDescent="0.3">
      <c r="B34" s="323"/>
      <c r="C34" s="328"/>
      <c r="D34" s="331"/>
      <c r="E34" s="334"/>
      <c r="F34" s="220"/>
      <c r="G34" s="220"/>
      <c r="H34" s="220"/>
      <c r="I34" s="220"/>
    </row>
    <row r="35" spans="2:9" x14ac:dyDescent="0.3">
      <c r="B35" s="323"/>
      <c r="C35" s="328"/>
      <c r="D35" s="331"/>
      <c r="E35" s="334"/>
      <c r="F35" s="220"/>
      <c r="G35" s="220"/>
      <c r="H35" s="220"/>
      <c r="I35" s="220"/>
    </row>
    <row r="36" spans="2:9" ht="193.2" customHeight="1" x14ac:dyDescent="0.3">
      <c r="B36" s="323"/>
      <c r="C36" s="328"/>
      <c r="D36" s="331"/>
      <c r="E36" s="334"/>
      <c r="F36" s="220"/>
      <c r="G36" s="220"/>
      <c r="H36" s="220"/>
      <c r="I36" s="220"/>
    </row>
    <row r="37" spans="2:9" x14ac:dyDescent="0.3">
      <c r="B37" s="323"/>
      <c r="C37" s="334"/>
      <c r="D37" s="334"/>
      <c r="E37" s="334"/>
      <c r="F37" s="220"/>
      <c r="G37" s="220"/>
      <c r="H37" s="220"/>
      <c r="I37" s="220"/>
    </row>
    <row r="38" spans="2:9" x14ac:dyDescent="0.3">
      <c r="B38" s="333"/>
      <c r="C38" s="334"/>
      <c r="D38" s="334"/>
      <c r="E38" s="334"/>
      <c r="F38" s="220"/>
      <c r="G38" s="220"/>
      <c r="H38" s="220"/>
      <c r="I38" s="220"/>
    </row>
    <row r="39" spans="2:9" x14ac:dyDescent="0.3">
      <c r="B39" s="333"/>
      <c r="C39" s="334"/>
      <c r="D39" s="334"/>
      <c r="E39" s="334"/>
      <c r="F39" s="220"/>
      <c r="G39" s="220"/>
      <c r="H39" s="220"/>
      <c r="I39" s="220"/>
    </row>
    <row r="40" spans="2:9" x14ac:dyDescent="0.3">
      <c r="B40" s="333"/>
      <c r="C40" s="334"/>
      <c r="D40" s="334"/>
      <c r="E40" s="334"/>
      <c r="F40" s="220"/>
      <c r="G40" s="220"/>
      <c r="H40" s="220"/>
      <c r="I40" s="220"/>
    </row>
    <row r="41" spans="2:9" x14ac:dyDescent="0.3">
      <c r="B41" s="333"/>
      <c r="C41" s="334"/>
      <c r="D41" s="334"/>
      <c r="E41" s="334"/>
      <c r="F41" s="220"/>
      <c r="G41" s="220"/>
      <c r="H41" s="220"/>
      <c r="I41" s="220"/>
    </row>
    <row r="42" spans="2:9" x14ac:dyDescent="0.3">
      <c r="B42" s="333"/>
      <c r="C42" s="334"/>
      <c r="D42" s="334"/>
      <c r="E42" s="334"/>
      <c r="F42" s="220"/>
      <c r="G42" s="220"/>
      <c r="H42" s="220"/>
      <c r="I42" s="220"/>
    </row>
    <row r="43" spans="2:9" x14ac:dyDescent="0.3">
      <c r="C43" s="220"/>
      <c r="D43" s="220"/>
      <c r="E43" s="220"/>
      <c r="F43" s="220"/>
      <c r="G43" s="220"/>
      <c r="H43" s="220"/>
      <c r="I43" s="220"/>
    </row>
    <row r="44" spans="2:9" x14ac:dyDescent="0.3">
      <c r="C44" s="220"/>
      <c r="D44" s="220"/>
      <c r="E44" s="220"/>
      <c r="F44" s="220"/>
      <c r="G44" s="220"/>
      <c r="H44" s="220"/>
      <c r="I44" s="220"/>
    </row>
    <row r="45" spans="2:9" x14ac:dyDescent="0.3">
      <c r="C45" s="220"/>
      <c r="D45" s="220"/>
      <c r="E45" s="220"/>
      <c r="F45" s="220"/>
      <c r="G45" s="220"/>
      <c r="H45" s="220"/>
      <c r="I45" s="220"/>
    </row>
    <row r="46" spans="2:9" x14ac:dyDescent="0.3">
      <c r="C46" s="220"/>
      <c r="D46" s="220"/>
      <c r="E46" s="220"/>
      <c r="F46" s="220"/>
      <c r="G46" s="220"/>
      <c r="H46" s="220"/>
      <c r="I46" s="220"/>
    </row>
    <row r="47" spans="2:9" x14ac:dyDescent="0.3">
      <c r="C47" s="220"/>
      <c r="D47" s="220"/>
      <c r="E47" s="220"/>
      <c r="F47" s="220"/>
      <c r="G47" s="220"/>
      <c r="H47" s="220"/>
      <c r="I47" s="220"/>
    </row>
    <row r="48" spans="2:9" x14ac:dyDescent="0.3">
      <c r="C48" s="220"/>
      <c r="D48" s="220"/>
      <c r="E48" s="220"/>
      <c r="F48" s="220"/>
      <c r="G48" s="220"/>
      <c r="H48" s="220"/>
      <c r="I48" s="220"/>
    </row>
    <row r="49" spans="3:9" x14ac:dyDescent="0.3">
      <c r="C49" s="220"/>
      <c r="D49" s="220"/>
      <c r="E49" s="220"/>
      <c r="F49" s="220"/>
      <c r="G49" s="220"/>
      <c r="H49" s="220"/>
      <c r="I49" s="220"/>
    </row>
    <row r="50" spans="3:9" x14ac:dyDescent="0.3">
      <c r="C50" s="220"/>
      <c r="D50" s="220"/>
      <c r="E50" s="220"/>
      <c r="F50" s="220"/>
      <c r="G50" s="220"/>
      <c r="H50" s="220"/>
      <c r="I50" s="220"/>
    </row>
    <row r="51" spans="3:9" x14ac:dyDescent="0.3">
      <c r="C51" s="220"/>
      <c r="D51" s="220"/>
      <c r="E51" s="220"/>
      <c r="F51" s="220"/>
      <c r="G51" s="220"/>
      <c r="H51" s="220"/>
      <c r="I51" s="220"/>
    </row>
    <row r="52" spans="3:9" x14ac:dyDescent="0.3">
      <c r="C52" s="220"/>
      <c r="D52" s="220"/>
      <c r="E52" s="220"/>
      <c r="F52" s="220"/>
      <c r="G52" s="220"/>
      <c r="H52" s="220"/>
      <c r="I52" s="220"/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0BAEB-A7E2-4475-AD6A-481CADF0B771}">
  <dimension ref="A1:T99"/>
  <sheetViews>
    <sheetView topLeftCell="A37" zoomScale="89" zoomScaleNormal="89" workbookViewId="0">
      <selection activeCell="B46" sqref="B46"/>
    </sheetView>
  </sheetViews>
  <sheetFormatPr defaultRowHeight="14.4" x14ac:dyDescent="0.3"/>
  <cols>
    <col min="1" max="1" width="10.33203125" customWidth="1"/>
    <col min="2" max="2" width="31.5546875" customWidth="1"/>
    <col min="3" max="3" width="20.33203125" customWidth="1"/>
    <col min="4" max="4" width="9.109375" bestFit="1" customWidth="1"/>
    <col min="5" max="5" width="14.109375" bestFit="1" customWidth="1"/>
    <col min="6" max="8" width="10.44140625" bestFit="1" customWidth="1"/>
    <col min="9" max="9" width="9.109375" bestFit="1" customWidth="1"/>
    <col min="10" max="10" width="11.44140625" bestFit="1" customWidth="1"/>
    <col min="11" max="12" width="13.109375" bestFit="1" customWidth="1"/>
    <col min="13" max="13" width="12.44140625" bestFit="1" customWidth="1"/>
    <col min="14" max="14" width="10.44140625" bestFit="1" customWidth="1"/>
    <col min="15" max="15" width="14.109375" bestFit="1" customWidth="1"/>
    <col min="16" max="16" width="12.44140625" bestFit="1" customWidth="1"/>
    <col min="17" max="18" width="11.44140625" bestFit="1" customWidth="1"/>
    <col min="19" max="19" width="14.6640625" customWidth="1"/>
  </cols>
  <sheetData>
    <row r="1" spans="1:19" ht="18" x14ac:dyDescent="0.35">
      <c r="A1" s="106" t="s">
        <v>241</v>
      </c>
    </row>
    <row r="4" spans="1:19" ht="18.600000000000001" thickBot="1" x14ac:dyDescent="0.4">
      <c r="B4" s="106" t="s">
        <v>191</v>
      </c>
    </row>
    <row r="5" spans="1:19" ht="15" thickBot="1" x14ac:dyDescent="0.35">
      <c r="B5" s="320" t="s">
        <v>218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2"/>
    </row>
    <row r="6" spans="1:19" ht="15" thickBot="1" x14ac:dyDescent="0.35">
      <c r="B6" s="90" t="s">
        <v>219</v>
      </c>
      <c r="C6" s="90" t="s">
        <v>220</v>
      </c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</row>
    <row r="7" spans="1:19" ht="15" thickBot="1" x14ac:dyDescent="0.35">
      <c r="B7" s="94" t="s">
        <v>221</v>
      </c>
      <c r="C7" s="95" t="s">
        <v>192</v>
      </c>
      <c r="D7" s="96" t="s">
        <v>193</v>
      </c>
      <c r="E7" s="96" t="s">
        <v>194</v>
      </c>
      <c r="F7" s="96" t="s">
        <v>195</v>
      </c>
      <c r="G7" s="96" t="s">
        <v>196</v>
      </c>
      <c r="H7" s="96" t="s">
        <v>197</v>
      </c>
      <c r="I7" s="96" t="s">
        <v>198</v>
      </c>
      <c r="J7" s="96" t="s">
        <v>199</v>
      </c>
      <c r="K7" s="96" t="s">
        <v>200</v>
      </c>
      <c r="L7" s="96" t="s">
        <v>201</v>
      </c>
      <c r="M7" s="96" t="s">
        <v>202</v>
      </c>
      <c r="N7" s="96" t="s">
        <v>203</v>
      </c>
      <c r="O7" s="96" t="s">
        <v>204</v>
      </c>
      <c r="P7" s="96" t="s">
        <v>205</v>
      </c>
      <c r="Q7" s="96" t="s">
        <v>206</v>
      </c>
      <c r="R7" s="97" t="s">
        <v>207</v>
      </c>
      <c r="S7" s="94" t="s">
        <v>208</v>
      </c>
    </row>
    <row r="8" spans="1:19" x14ac:dyDescent="0.3">
      <c r="B8" s="98" t="s">
        <v>209</v>
      </c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>
        <f>SUM(C8:R8)</f>
        <v>0</v>
      </c>
    </row>
    <row r="9" spans="1:19" x14ac:dyDescent="0.3">
      <c r="B9" s="98" t="s">
        <v>210</v>
      </c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>
        <f t="shared" ref="S9:S14" si="0">SUM(C9:R9)</f>
        <v>0</v>
      </c>
    </row>
    <row r="10" spans="1:19" x14ac:dyDescent="0.3">
      <c r="B10" s="98" t="s">
        <v>211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>
        <f t="shared" si="0"/>
        <v>0</v>
      </c>
    </row>
    <row r="11" spans="1:19" x14ac:dyDescent="0.3">
      <c r="B11" s="98" t="s">
        <v>212</v>
      </c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1">
        <f t="shared" si="0"/>
        <v>0</v>
      </c>
    </row>
    <row r="12" spans="1:19" x14ac:dyDescent="0.3">
      <c r="B12" s="98" t="s">
        <v>213</v>
      </c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1">
        <f t="shared" si="0"/>
        <v>0</v>
      </c>
    </row>
    <row r="13" spans="1:19" x14ac:dyDescent="0.3">
      <c r="B13" s="98" t="s">
        <v>214</v>
      </c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1">
        <f t="shared" si="0"/>
        <v>0</v>
      </c>
    </row>
    <row r="14" spans="1:19" ht="15" thickBot="1" x14ac:dyDescent="0.35">
      <c r="B14" s="102" t="s">
        <v>215</v>
      </c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>
        <f t="shared" si="0"/>
        <v>0</v>
      </c>
    </row>
    <row r="15" spans="1:19" ht="15" thickBot="1" x14ac:dyDescent="0.35">
      <c r="B15" s="103" t="s">
        <v>208</v>
      </c>
      <c r="C15" s="104">
        <f>SUM(C8:C14)</f>
        <v>0</v>
      </c>
      <c r="D15" s="104">
        <f t="shared" ref="D15:R15" si="1">SUM(D8:D14)</f>
        <v>0</v>
      </c>
      <c r="E15" s="104">
        <f t="shared" si="1"/>
        <v>0</v>
      </c>
      <c r="F15" s="104">
        <f t="shared" si="1"/>
        <v>0</v>
      </c>
      <c r="G15" s="104">
        <f t="shared" si="1"/>
        <v>0</v>
      </c>
      <c r="H15" s="104">
        <f t="shared" si="1"/>
        <v>0</v>
      </c>
      <c r="I15" s="104">
        <f t="shared" si="1"/>
        <v>0</v>
      </c>
      <c r="J15" s="104">
        <f t="shared" si="1"/>
        <v>0</v>
      </c>
      <c r="K15" s="104">
        <f t="shared" si="1"/>
        <v>0</v>
      </c>
      <c r="L15" s="104">
        <f t="shared" si="1"/>
        <v>0</v>
      </c>
      <c r="M15" s="104">
        <f t="shared" si="1"/>
        <v>0</v>
      </c>
      <c r="N15" s="104">
        <f t="shared" si="1"/>
        <v>0</v>
      </c>
      <c r="O15" s="104">
        <f t="shared" si="1"/>
        <v>0</v>
      </c>
      <c r="P15" s="104">
        <f t="shared" si="1"/>
        <v>0</v>
      </c>
      <c r="Q15" s="104">
        <f t="shared" si="1"/>
        <v>0</v>
      </c>
      <c r="R15" s="104">
        <f t="shared" si="1"/>
        <v>0</v>
      </c>
      <c r="S15" s="104">
        <f>SUM(S8:S14)</f>
        <v>0</v>
      </c>
    </row>
    <row r="16" spans="1:19" x14ac:dyDescent="0.3"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2:20" ht="18.600000000000001" thickBot="1" x14ac:dyDescent="0.4">
      <c r="B17" s="106" t="s">
        <v>33</v>
      </c>
    </row>
    <row r="18" spans="2:20" ht="18.600000000000001" thickBot="1" x14ac:dyDescent="0.4"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2:20" x14ac:dyDescent="0.3">
      <c r="B19" s="125" t="s">
        <v>222</v>
      </c>
      <c r="C19" s="109">
        <v>0.64</v>
      </c>
      <c r="D19" s="110">
        <v>0.24</v>
      </c>
      <c r="E19" s="110">
        <v>0.01</v>
      </c>
      <c r="F19" s="110">
        <v>0.03</v>
      </c>
      <c r="G19" s="110">
        <v>0.17</v>
      </c>
      <c r="H19" s="110">
        <v>0.44</v>
      </c>
      <c r="I19" s="110">
        <v>0.17</v>
      </c>
      <c r="J19" s="110">
        <v>0.504</v>
      </c>
      <c r="K19" s="110">
        <v>2.5000000000000001E-3</v>
      </c>
      <c r="L19" s="110">
        <v>0.03</v>
      </c>
      <c r="M19" s="110">
        <v>0.126</v>
      </c>
      <c r="N19" s="110">
        <v>0.24</v>
      </c>
      <c r="O19" s="110">
        <v>4.7000000000000002E-3</v>
      </c>
      <c r="P19" s="110">
        <v>0.26700000000000002</v>
      </c>
      <c r="Q19" s="110">
        <v>1.61</v>
      </c>
      <c r="R19" s="111">
        <v>0.24</v>
      </c>
      <c r="S19" s="131"/>
    </row>
    <row r="20" spans="2:20" ht="15" thickBot="1" x14ac:dyDescent="0.35">
      <c r="B20" s="126" t="s">
        <v>223</v>
      </c>
      <c r="C20" s="122">
        <f>+C15*C19</f>
        <v>0</v>
      </c>
      <c r="D20" s="116">
        <f t="shared" ref="D20:R20" si="2">+D15*D19</f>
        <v>0</v>
      </c>
      <c r="E20" s="116">
        <f t="shared" si="2"/>
        <v>0</v>
      </c>
      <c r="F20" s="116">
        <f t="shared" si="2"/>
        <v>0</v>
      </c>
      <c r="G20" s="116">
        <f t="shared" si="2"/>
        <v>0</v>
      </c>
      <c r="H20" s="116">
        <f t="shared" si="2"/>
        <v>0</v>
      </c>
      <c r="I20" s="116">
        <f t="shared" si="2"/>
        <v>0</v>
      </c>
      <c r="J20" s="116">
        <f t="shared" si="2"/>
        <v>0</v>
      </c>
      <c r="K20" s="116">
        <f t="shared" si="2"/>
        <v>0</v>
      </c>
      <c r="L20" s="116">
        <f t="shared" si="2"/>
        <v>0</v>
      </c>
      <c r="M20" s="116">
        <f t="shared" si="2"/>
        <v>0</v>
      </c>
      <c r="N20" s="116">
        <f t="shared" si="2"/>
        <v>0</v>
      </c>
      <c r="O20" s="116">
        <f t="shared" si="2"/>
        <v>0</v>
      </c>
      <c r="P20" s="116">
        <f t="shared" si="2"/>
        <v>0</v>
      </c>
      <c r="Q20" s="116">
        <f t="shared" si="2"/>
        <v>0</v>
      </c>
      <c r="R20" s="130">
        <f t="shared" si="2"/>
        <v>0</v>
      </c>
      <c r="S20" s="132">
        <f>SUM(C20:R20)</f>
        <v>0</v>
      </c>
    </row>
    <row r="21" spans="2:20" x14ac:dyDescent="0.3">
      <c r="B21" s="126" t="s">
        <v>224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38" t="s">
        <v>216</v>
      </c>
      <c r="T21" s="105"/>
    </row>
    <row r="22" spans="2:20" x14ac:dyDescent="0.3">
      <c r="B22" s="126" t="s">
        <v>225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38" t="s">
        <v>217</v>
      </c>
      <c r="T22" s="105"/>
    </row>
    <row r="23" spans="2:20" x14ac:dyDescent="0.3">
      <c r="B23" s="126" t="s">
        <v>226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32" t="str">
        <f>IFERROR(+S21+S22,"-")</f>
        <v>-</v>
      </c>
    </row>
    <row r="24" spans="2:20" x14ac:dyDescent="0.3">
      <c r="B24" s="12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33"/>
    </row>
    <row r="25" spans="2:20" x14ac:dyDescent="0.3">
      <c r="B25" s="126" t="s">
        <v>227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34" t="str">
        <f>IFERROR(+S20/S23,"-")</f>
        <v>-</v>
      </c>
    </row>
    <row r="26" spans="2:20" x14ac:dyDescent="0.3">
      <c r="B26" s="12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33"/>
    </row>
    <row r="27" spans="2:20" x14ac:dyDescent="0.3">
      <c r="B27" s="126" t="s">
        <v>228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33"/>
    </row>
    <row r="28" spans="2:20" x14ac:dyDescent="0.3">
      <c r="B28" s="128" t="s">
        <v>238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35"/>
    </row>
    <row r="29" spans="2:20" x14ac:dyDescent="0.3">
      <c r="B29" s="128" t="s">
        <v>235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35"/>
    </row>
    <row r="30" spans="2:20" x14ac:dyDescent="0.3">
      <c r="B30" s="128" t="s">
        <v>236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35"/>
    </row>
    <row r="31" spans="2:20" x14ac:dyDescent="0.3">
      <c r="B31" s="128" t="s">
        <v>237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35"/>
    </row>
    <row r="32" spans="2:20" x14ac:dyDescent="0.3">
      <c r="B32" s="127" t="s">
        <v>229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35"/>
    </row>
    <row r="33" spans="1:19" x14ac:dyDescent="0.3">
      <c r="B33" s="12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33"/>
    </row>
    <row r="34" spans="1:19" x14ac:dyDescent="0.3">
      <c r="B34" s="127" t="s">
        <v>230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32" t="str">
        <f>IFERROR(+S25*S32,"-")</f>
        <v>-</v>
      </c>
    </row>
    <row r="35" spans="1:19" ht="15" thickBot="1" x14ac:dyDescent="0.35">
      <c r="B35" s="127" t="s">
        <v>231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37" t="str">
        <f>IFERROR(+S34/S21*100,"-")</f>
        <v>-</v>
      </c>
    </row>
    <row r="36" spans="1:19" x14ac:dyDescent="0.3">
      <c r="B36" s="127" t="s">
        <v>232</v>
      </c>
      <c r="C36" s="123" t="str">
        <f>IFERROR(+C20/$S20*$S34,"-")</f>
        <v>-</v>
      </c>
      <c r="D36" s="123" t="str">
        <f t="shared" ref="D36:R36" si="3">IFERROR(+D20/$S20*$S34,"-")</f>
        <v>-</v>
      </c>
      <c r="E36" s="123" t="str">
        <f t="shared" si="3"/>
        <v>-</v>
      </c>
      <c r="F36" s="123" t="str">
        <f t="shared" si="3"/>
        <v>-</v>
      </c>
      <c r="G36" s="123" t="str">
        <f t="shared" si="3"/>
        <v>-</v>
      </c>
      <c r="H36" s="123" t="str">
        <f t="shared" si="3"/>
        <v>-</v>
      </c>
      <c r="I36" s="123" t="str">
        <f t="shared" si="3"/>
        <v>-</v>
      </c>
      <c r="J36" s="123" t="str">
        <f t="shared" si="3"/>
        <v>-</v>
      </c>
      <c r="K36" s="123" t="str">
        <f t="shared" si="3"/>
        <v>-</v>
      </c>
      <c r="L36" s="123" t="str">
        <f t="shared" si="3"/>
        <v>-</v>
      </c>
      <c r="M36" s="123" t="str">
        <f t="shared" si="3"/>
        <v>-</v>
      </c>
      <c r="N36" s="123" t="str">
        <f t="shared" si="3"/>
        <v>-</v>
      </c>
      <c r="O36" s="123" t="str">
        <f t="shared" si="3"/>
        <v>-</v>
      </c>
      <c r="P36" s="123" t="str">
        <f t="shared" si="3"/>
        <v>-</v>
      </c>
      <c r="Q36" s="123" t="str">
        <f t="shared" si="3"/>
        <v>-</v>
      </c>
      <c r="R36" s="123" t="str">
        <f t="shared" si="3"/>
        <v>-</v>
      </c>
      <c r="S36" s="132" t="str">
        <f>IFERROR(+S20/$S20*$S34,"-")</f>
        <v>-</v>
      </c>
    </row>
    <row r="37" spans="1:19" x14ac:dyDescent="0.3">
      <c r="B37" s="127" t="s">
        <v>233</v>
      </c>
      <c r="C37" s="115" t="str">
        <f>IFERROR(+C20-C36,"-")</f>
        <v>-</v>
      </c>
      <c r="D37" s="115" t="str">
        <f t="shared" ref="D37:R37" si="4">IFERROR(+D20-D36,"-")</f>
        <v>-</v>
      </c>
      <c r="E37" s="115" t="str">
        <f t="shared" si="4"/>
        <v>-</v>
      </c>
      <c r="F37" s="115" t="str">
        <f t="shared" si="4"/>
        <v>-</v>
      </c>
      <c r="G37" s="115" t="str">
        <f t="shared" si="4"/>
        <v>-</v>
      </c>
      <c r="H37" s="115" t="str">
        <f t="shared" si="4"/>
        <v>-</v>
      </c>
      <c r="I37" s="115" t="str">
        <f t="shared" si="4"/>
        <v>-</v>
      </c>
      <c r="J37" s="115" t="str">
        <f t="shared" si="4"/>
        <v>-</v>
      </c>
      <c r="K37" s="115" t="str">
        <f t="shared" si="4"/>
        <v>-</v>
      </c>
      <c r="L37" s="115" t="str">
        <f t="shared" si="4"/>
        <v>-</v>
      </c>
      <c r="M37" s="115" t="str">
        <f t="shared" si="4"/>
        <v>-</v>
      </c>
      <c r="N37" s="115" t="str">
        <f t="shared" si="4"/>
        <v>-</v>
      </c>
      <c r="O37" s="115" t="str">
        <f t="shared" si="4"/>
        <v>-</v>
      </c>
      <c r="P37" s="115" t="str">
        <f t="shared" si="4"/>
        <v>-</v>
      </c>
      <c r="Q37" s="115" t="str">
        <f t="shared" si="4"/>
        <v>-</v>
      </c>
      <c r="R37" s="115" t="str">
        <f t="shared" si="4"/>
        <v>-</v>
      </c>
      <c r="S37" s="132" t="str">
        <f>IFERROR(+S20-S36,"-")</f>
        <v>-</v>
      </c>
    </row>
    <row r="38" spans="1:19" ht="15" thickBot="1" x14ac:dyDescent="0.35">
      <c r="B38" s="129" t="s">
        <v>234</v>
      </c>
      <c r="C38" s="124" t="str">
        <f>IFERROR(IF(C37/C19&gt;=0,C37/C19,0),"-")</f>
        <v>-</v>
      </c>
      <c r="D38" s="124" t="str">
        <f t="shared" ref="D38:R38" si="5">IFERROR(IF(D37/D19&gt;=0,D37/D19,0),"-")</f>
        <v>-</v>
      </c>
      <c r="E38" s="124" t="str">
        <f t="shared" si="5"/>
        <v>-</v>
      </c>
      <c r="F38" s="124" t="str">
        <f t="shared" si="5"/>
        <v>-</v>
      </c>
      <c r="G38" s="124" t="str">
        <f t="shared" si="5"/>
        <v>-</v>
      </c>
      <c r="H38" s="124" t="str">
        <f t="shared" si="5"/>
        <v>-</v>
      </c>
      <c r="I38" s="124" t="str">
        <f t="shared" si="5"/>
        <v>-</v>
      </c>
      <c r="J38" s="124" t="str">
        <f t="shared" si="5"/>
        <v>-</v>
      </c>
      <c r="K38" s="124" t="str">
        <f t="shared" si="5"/>
        <v>-</v>
      </c>
      <c r="L38" s="124" t="str">
        <f t="shared" si="5"/>
        <v>-</v>
      </c>
      <c r="M38" s="124" t="str">
        <f t="shared" si="5"/>
        <v>-</v>
      </c>
      <c r="N38" s="124" t="str">
        <f t="shared" si="5"/>
        <v>-</v>
      </c>
      <c r="O38" s="124" t="str">
        <f t="shared" si="5"/>
        <v>-</v>
      </c>
      <c r="P38" s="124" t="str">
        <f t="shared" si="5"/>
        <v>-</v>
      </c>
      <c r="Q38" s="124" t="str">
        <f t="shared" si="5"/>
        <v>-</v>
      </c>
      <c r="R38" s="124" t="str">
        <f t="shared" si="5"/>
        <v>-</v>
      </c>
      <c r="S38" s="136"/>
    </row>
    <row r="39" spans="1:19" ht="15" thickBot="1" x14ac:dyDescent="0.35"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14"/>
    </row>
    <row r="40" spans="1:19" x14ac:dyDescent="0.3">
      <c r="B40" s="245" t="s">
        <v>239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</row>
    <row r="41" spans="1:19" x14ac:dyDescent="0.3">
      <c r="B41" s="245" t="s">
        <v>240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</row>
    <row r="43" spans="1:19" x14ac:dyDescent="0.3">
      <c r="A43" s="333"/>
      <c r="B43" s="333"/>
      <c r="C43" s="333"/>
    </row>
    <row r="44" spans="1:19" ht="15" x14ac:dyDescent="0.3">
      <c r="A44" s="323"/>
      <c r="B44" s="324"/>
      <c r="C44" s="325"/>
    </row>
    <row r="45" spans="1:19" x14ac:dyDescent="0.3">
      <c r="A45" s="323"/>
      <c r="B45" s="323"/>
      <c r="C45" s="326"/>
    </row>
    <row r="46" spans="1:19" x14ac:dyDescent="0.3">
      <c r="A46" s="323"/>
      <c r="B46" s="323"/>
      <c r="C46" s="326"/>
    </row>
    <row r="47" spans="1:19" x14ac:dyDescent="0.3">
      <c r="A47" s="323"/>
      <c r="B47" s="323"/>
      <c r="C47" s="326"/>
    </row>
    <row r="48" spans="1:19" x14ac:dyDescent="0.3">
      <c r="A48" s="323"/>
      <c r="B48" s="323"/>
      <c r="C48" s="326"/>
    </row>
    <row r="49" spans="1:9" x14ac:dyDescent="0.3">
      <c r="A49" s="323"/>
      <c r="B49" s="323"/>
      <c r="C49" s="326"/>
    </row>
    <row r="50" spans="1:9" x14ac:dyDescent="0.3">
      <c r="A50" s="323"/>
      <c r="B50" s="323"/>
      <c r="C50" s="326"/>
    </row>
    <row r="51" spans="1:9" x14ac:dyDescent="0.3">
      <c r="A51" s="323"/>
      <c r="B51" s="328"/>
      <c r="C51" s="331"/>
      <c r="D51" s="220"/>
      <c r="E51" s="220"/>
      <c r="F51" s="220"/>
      <c r="G51" s="220"/>
      <c r="H51" s="220"/>
      <c r="I51" s="220"/>
    </row>
    <row r="52" spans="1:9" x14ac:dyDescent="0.3">
      <c r="A52" s="323"/>
      <c r="B52" s="328"/>
      <c r="C52" s="331"/>
      <c r="D52" s="220"/>
      <c r="E52" s="220"/>
      <c r="F52" s="220"/>
      <c r="G52" s="220"/>
      <c r="H52" s="220"/>
      <c r="I52" s="220"/>
    </row>
    <row r="53" spans="1:9" x14ac:dyDescent="0.3">
      <c r="B53" s="220"/>
      <c r="C53" s="220"/>
      <c r="D53" s="220"/>
      <c r="E53" s="220"/>
      <c r="F53" s="220"/>
      <c r="G53" s="220"/>
      <c r="H53" s="220"/>
      <c r="I53" s="220"/>
    </row>
    <row r="54" spans="1:9" x14ac:dyDescent="0.3">
      <c r="B54" s="220"/>
      <c r="C54" s="220"/>
      <c r="D54" s="220"/>
      <c r="E54" s="220"/>
      <c r="F54" s="220"/>
      <c r="G54" s="220"/>
      <c r="H54" s="220"/>
      <c r="I54" s="220"/>
    </row>
    <row r="55" spans="1:9" x14ac:dyDescent="0.3">
      <c r="B55" s="220"/>
      <c r="C55" s="220"/>
      <c r="D55" s="220"/>
      <c r="E55" s="220"/>
      <c r="F55" s="220"/>
      <c r="G55" s="220"/>
      <c r="H55" s="220"/>
      <c r="I55" s="220"/>
    </row>
    <row r="56" spans="1:9" x14ac:dyDescent="0.3">
      <c r="B56" s="220"/>
      <c r="C56" s="220"/>
      <c r="D56" s="220"/>
      <c r="E56" s="220"/>
      <c r="F56" s="220"/>
      <c r="G56" s="220"/>
      <c r="H56" s="220"/>
      <c r="I56" s="220"/>
    </row>
    <row r="57" spans="1:9" x14ac:dyDescent="0.3">
      <c r="B57" s="220"/>
      <c r="C57" s="220"/>
      <c r="D57" s="220"/>
      <c r="E57" s="220"/>
      <c r="F57" s="220"/>
      <c r="G57" s="220"/>
      <c r="H57" s="220"/>
      <c r="I57" s="220"/>
    </row>
    <row r="58" spans="1:9" x14ac:dyDescent="0.3">
      <c r="B58" s="220"/>
      <c r="C58" s="220"/>
      <c r="D58" s="220"/>
      <c r="E58" s="220"/>
      <c r="F58" s="220"/>
      <c r="G58" s="220"/>
      <c r="H58" s="220"/>
      <c r="I58" s="220"/>
    </row>
    <row r="59" spans="1:9" x14ac:dyDescent="0.3">
      <c r="B59" s="220"/>
      <c r="C59" s="220"/>
      <c r="D59" s="220"/>
      <c r="E59" s="220"/>
      <c r="F59" s="220"/>
      <c r="G59" s="220"/>
      <c r="H59" s="220"/>
      <c r="I59" s="220"/>
    </row>
    <row r="60" spans="1:9" x14ac:dyDescent="0.3">
      <c r="B60" s="220"/>
      <c r="C60" s="220"/>
      <c r="D60" s="220"/>
      <c r="E60" s="220"/>
      <c r="F60" s="220"/>
      <c r="G60" s="220"/>
      <c r="H60" s="220"/>
      <c r="I60" s="220"/>
    </row>
    <row r="61" spans="1:9" x14ac:dyDescent="0.3">
      <c r="B61" s="220"/>
      <c r="C61" s="220"/>
      <c r="D61" s="220"/>
      <c r="E61" s="220"/>
      <c r="F61" s="220"/>
      <c r="G61" s="220"/>
      <c r="H61" s="220"/>
      <c r="I61" s="220"/>
    </row>
    <row r="62" spans="1:9" x14ac:dyDescent="0.3">
      <c r="B62" s="220"/>
      <c r="C62" s="220"/>
      <c r="D62" s="220"/>
      <c r="E62" s="220"/>
      <c r="F62" s="220"/>
      <c r="G62" s="220"/>
      <c r="H62" s="220"/>
      <c r="I62" s="220"/>
    </row>
    <row r="63" spans="1:9" x14ac:dyDescent="0.3">
      <c r="B63" s="220"/>
      <c r="C63" s="220"/>
      <c r="D63" s="220"/>
      <c r="E63" s="220"/>
      <c r="F63" s="220"/>
      <c r="G63" s="220"/>
      <c r="H63" s="220"/>
      <c r="I63" s="220"/>
    </row>
    <row r="64" spans="1:9" x14ac:dyDescent="0.3">
      <c r="B64" s="220"/>
      <c r="C64" s="220"/>
      <c r="D64" s="220"/>
      <c r="E64" s="220"/>
      <c r="F64" s="220"/>
      <c r="G64" s="220"/>
      <c r="H64" s="220"/>
      <c r="I64" s="220"/>
    </row>
    <row r="65" spans="2:9" x14ac:dyDescent="0.3">
      <c r="B65" s="220"/>
      <c r="C65" s="220"/>
      <c r="D65" s="220"/>
      <c r="E65" s="220"/>
      <c r="F65" s="220"/>
      <c r="G65" s="220"/>
      <c r="H65" s="220"/>
      <c r="I65" s="220"/>
    </row>
    <row r="66" spans="2:9" x14ac:dyDescent="0.3">
      <c r="B66" s="220"/>
      <c r="C66" s="220"/>
      <c r="D66" s="220"/>
      <c r="E66" s="220"/>
      <c r="F66" s="220"/>
      <c r="G66" s="220"/>
      <c r="H66" s="220"/>
      <c r="I66" s="220"/>
    </row>
    <row r="67" spans="2:9" x14ac:dyDescent="0.3">
      <c r="B67" s="220"/>
      <c r="C67" s="220"/>
      <c r="D67" s="220"/>
      <c r="E67" s="220"/>
      <c r="F67" s="220"/>
      <c r="G67" s="220"/>
      <c r="H67" s="220"/>
      <c r="I67" s="220"/>
    </row>
    <row r="68" spans="2:9" x14ac:dyDescent="0.3">
      <c r="B68" s="220"/>
      <c r="C68" s="220"/>
      <c r="D68" s="220"/>
      <c r="E68" s="220"/>
      <c r="F68" s="220"/>
      <c r="G68" s="220"/>
      <c r="H68" s="220"/>
      <c r="I68" s="220"/>
    </row>
    <row r="69" spans="2:9" x14ac:dyDescent="0.3">
      <c r="B69" s="220"/>
      <c r="C69" s="220"/>
      <c r="D69" s="220"/>
      <c r="E69" s="220"/>
      <c r="F69" s="220"/>
      <c r="G69" s="220"/>
      <c r="H69" s="220"/>
      <c r="I69" s="220"/>
    </row>
    <row r="70" spans="2:9" x14ac:dyDescent="0.3">
      <c r="B70" s="220"/>
      <c r="C70" s="220"/>
      <c r="D70" s="220"/>
      <c r="E70" s="220"/>
      <c r="F70" s="220"/>
      <c r="G70" s="220"/>
      <c r="H70" s="220"/>
      <c r="I70" s="220"/>
    </row>
    <row r="71" spans="2:9" x14ac:dyDescent="0.3">
      <c r="B71" s="220"/>
      <c r="C71" s="220"/>
      <c r="D71" s="220"/>
      <c r="E71" s="220"/>
      <c r="F71" s="220"/>
      <c r="G71" s="220"/>
      <c r="H71" s="220"/>
      <c r="I71" s="220"/>
    </row>
    <row r="72" spans="2:9" x14ac:dyDescent="0.3">
      <c r="B72" s="220"/>
      <c r="C72" s="220"/>
      <c r="D72" s="220"/>
      <c r="E72" s="220"/>
      <c r="F72" s="220"/>
      <c r="G72" s="220"/>
      <c r="H72" s="220"/>
      <c r="I72" s="220"/>
    </row>
    <row r="73" spans="2:9" x14ac:dyDescent="0.3">
      <c r="B73" s="220"/>
      <c r="C73" s="220"/>
      <c r="D73" s="220"/>
      <c r="E73" s="220"/>
      <c r="F73" s="220"/>
      <c r="G73" s="220"/>
      <c r="H73" s="220"/>
      <c r="I73" s="220"/>
    </row>
    <row r="74" spans="2:9" x14ac:dyDescent="0.3">
      <c r="B74" s="220"/>
      <c r="C74" s="220"/>
      <c r="D74" s="220"/>
      <c r="E74" s="220"/>
      <c r="F74" s="220"/>
      <c r="G74" s="220"/>
      <c r="H74" s="220"/>
      <c r="I74" s="220"/>
    </row>
    <row r="75" spans="2:9" x14ac:dyDescent="0.3">
      <c r="B75" s="220"/>
      <c r="C75" s="220"/>
      <c r="D75" s="220"/>
      <c r="E75" s="220"/>
      <c r="F75" s="220"/>
      <c r="G75" s="220"/>
      <c r="H75" s="220"/>
      <c r="I75" s="220"/>
    </row>
    <row r="76" spans="2:9" x14ac:dyDescent="0.3">
      <c r="B76" s="220"/>
      <c r="C76" s="220"/>
      <c r="D76" s="220"/>
      <c r="E76" s="220"/>
      <c r="F76" s="220"/>
      <c r="G76" s="220"/>
      <c r="H76" s="220"/>
      <c r="I76" s="220"/>
    </row>
    <row r="77" spans="2:9" x14ac:dyDescent="0.3">
      <c r="B77" s="220"/>
      <c r="C77" s="220"/>
      <c r="D77" s="220"/>
      <c r="E77" s="220"/>
      <c r="F77" s="220"/>
      <c r="G77" s="220"/>
      <c r="H77" s="220"/>
      <c r="I77" s="220"/>
    </row>
    <row r="78" spans="2:9" x14ac:dyDescent="0.3">
      <c r="B78" s="220"/>
      <c r="C78" s="220"/>
      <c r="D78" s="220"/>
      <c r="E78" s="220"/>
      <c r="F78" s="220"/>
      <c r="G78" s="220"/>
      <c r="H78" s="220"/>
      <c r="I78" s="220"/>
    </row>
    <row r="79" spans="2:9" x14ac:dyDescent="0.3">
      <c r="B79" s="220"/>
      <c r="C79" s="220"/>
      <c r="D79" s="220"/>
      <c r="E79" s="220"/>
      <c r="F79" s="220"/>
      <c r="G79" s="220"/>
      <c r="H79" s="220"/>
      <c r="I79" s="220"/>
    </row>
    <row r="80" spans="2:9" x14ac:dyDescent="0.3">
      <c r="B80" s="220"/>
      <c r="C80" s="220"/>
      <c r="D80" s="220"/>
      <c r="E80" s="220"/>
      <c r="F80" s="220"/>
      <c r="G80" s="220"/>
      <c r="H80" s="220"/>
      <c r="I80" s="220"/>
    </row>
    <row r="81" spans="2:9" x14ac:dyDescent="0.3">
      <c r="B81" s="220"/>
      <c r="C81" s="220"/>
      <c r="D81" s="220"/>
      <c r="E81" s="220"/>
      <c r="F81" s="220"/>
      <c r="G81" s="220"/>
      <c r="H81" s="220"/>
      <c r="I81" s="220"/>
    </row>
    <row r="82" spans="2:9" x14ac:dyDescent="0.3">
      <c r="B82" s="220"/>
      <c r="C82" s="220"/>
      <c r="D82" s="220"/>
      <c r="E82" s="220"/>
      <c r="F82" s="220"/>
      <c r="G82" s="220"/>
      <c r="H82" s="220"/>
      <c r="I82" s="220"/>
    </row>
    <row r="83" spans="2:9" x14ac:dyDescent="0.3">
      <c r="B83" s="220"/>
      <c r="C83" s="220"/>
      <c r="D83" s="220"/>
      <c r="E83" s="220"/>
      <c r="F83" s="220"/>
      <c r="G83" s="220"/>
      <c r="H83" s="220"/>
      <c r="I83" s="220"/>
    </row>
    <row r="84" spans="2:9" x14ac:dyDescent="0.3">
      <c r="B84" s="220"/>
      <c r="C84" s="220"/>
      <c r="D84" s="220"/>
      <c r="E84" s="220"/>
      <c r="F84" s="220"/>
      <c r="G84" s="220"/>
      <c r="H84" s="220"/>
      <c r="I84" s="220"/>
    </row>
    <row r="85" spans="2:9" x14ac:dyDescent="0.3">
      <c r="B85" s="220"/>
      <c r="C85" s="220"/>
      <c r="D85" s="220"/>
      <c r="E85" s="220"/>
      <c r="F85" s="220"/>
      <c r="G85" s="220"/>
      <c r="H85" s="220"/>
      <c r="I85" s="220"/>
    </row>
    <row r="86" spans="2:9" x14ac:dyDescent="0.3">
      <c r="B86" s="220"/>
      <c r="C86" s="220"/>
      <c r="D86" s="220"/>
      <c r="E86" s="220"/>
      <c r="F86" s="220"/>
      <c r="G86" s="220"/>
      <c r="H86" s="220"/>
      <c r="I86" s="220"/>
    </row>
    <row r="87" spans="2:9" x14ac:dyDescent="0.3">
      <c r="B87" s="220"/>
      <c r="C87" s="220"/>
      <c r="D87" s="220"/>
      <c r="E87" s="220"/>
      <c r="F87" s="220"/>
      <c r="G87" s="220"/>
      <c r="H87" s="220"/>
      <c r="I87" s="220"/>
    </row>
    <row r="88" spans="2:9" x14ac:dyDescent="0.3">
      <c r="B88" s="220"/>
      <c r="C88" s="220"/>
      <c r="D88" s="220"/>
      <c r="E88" s="220"/>
      <c r="F88" s="220"/>
      <c r="G88" s="220"/>
      <c r="H88" s="220"/>
      <c r="I88" s="220"/>
    </row>
    <row r="89" spans="2:9" x14ac:dyDescent="0.3">
      <c r="B89" s="220"/>
      <c r="C89" s="220"/>
      <c r="D89" s="220"/>
      <c r="E89" s="220"/>
      <c r="F89" s="220"/>
      <c r="G89" s="220"/>
      <c r="H89" s="220"/>
      <c r="I89" s="220"/>
    </row>
    <row r="90" spans="2:9" x14ac:dyDescent="0.3">
      <c r="B90" s="220"/>
      <c r="C90" s="220"/>
      <c r="D90" s="220"/>
      <c r="E90" s="220"/>
      <c r="F90" s="220"/>
      <c r="G90" s="220"/>
      <c r="H90" s="220"/>
      <c r="I90" s="220"/>
    </row>
    <row r="91" spans="2:9" x14ac:dyDescent="0.3">
      <c r="B91" s="220"/>
      <c r="C91" s="220"/>
      <c r="D91" s="220"/>
      <c r="E91" s="220"/>
      <c r="F91" s="220"/>
      <c r="G91" s="220"/>
      <c r="H91" s="220"/>
      <c r="I91" s="220"/>
    </row>
    <row r="92" spans="2:9" x14ac:dyDescent="0.3">
      <c r="B92" s="220"/>
      <c r="C92" s="220"/>
      <c r="D92" s="220"/>
      <c r="E92" s="220"/>
      <c r="F92" s="220"/>
      <c r="G92" s="220"/>
      <c r="H92" s="220"/>
      <c r="I92" s="220"/>
    </row>
    <row r="93" spans="2:9" x14ac:dyDescent="0.3">
      <c r="B93" s="220"/>
      <c r="C93" s="220"/>
      <c r="D93" s="220"/>
      <c r="E93" s="220"/>
      <c r="F93" s="220"/>
      <c r="G93" s="220"/>
      <c r="H93" s="220"/>
      <c r="I93" s="220"/>
    </row>
    <row r="94" spans="2:9" x14ac:dyDescent="0.3">
      <c r="B94" s="220"/>
      <c r="C94" s="220"/>
      <c r="D94" s="220"/>
      <c r="E94" s="220"/>
      <c r="F94" s="220"/>
      <c r="G94" s="220"/>
      <c r="H94" s="220"/>
      <c r="I94" s="220"/>
    </row>
    <row r="95" spans="2:9" x14ac:dyDescent="0.3">
      <c r="B95" s="220"/>
      <c r="C95" s="220"/>
      <c r="D95" s="220"/>
      <c r="E95" s="220"/>
      <c r="F95" s="220"/>
      <c r="G95" s="220"/>
      <c r="H95" s="220"/>
      <c r="I95" s="220"/>
    </row>
    <row r="96" spans="2:9" x14ac:dyDescent="0.3">
      <c r="B96" s="220"/>
      <c r="C96" s="220"/>
      <c r="D96" s="220"/>
      <c r="E96" s="220"/>
      <c r="F96" s="220"/>
      <c r="G96" s="220"/>
      <c r="H96" s="220"/>
      <c r="I96" s="220"/>
    </row>
    <row r="97" spans="2:9" x14ac:dyDescent="0.3">
      <c r="B97" s="220"/>
      <c r="C97" s="220"/>
      <c r="D97" s="220"/>
      <c r="E97" s="220"/>
      <c r="F97" s="220"/>
      <c r="G97" s="220"/>
      <c r="H97" s="220"/>
      <c r="I97" s="220"/>
    </row>
    <row r="98" spans="2:9" x14ac:dyDescent="0.3">
      <c r="B98" s="220"/>
      <c r="C98" s="220"/>
      <c r="D98" s="220"/>
      <c r="E98" s="220"/>
      <c r="F98" s="220"/>
      <c r="G98" s="220"/>
      <c r="H98" s="220"/>
      <c r="I98" s="220"/>
    </row>
    <row r="99" spans="2:9" x14ac:dyDescent="0.3">
      <c r="B99" s="220"/>
      <c r="C99" s="220"/>
      <c r="D99" s="220"/>
      <c r="E99" s="220"/>
      <c r="F99" s="220"/>
      <c r="G99" s="220"/>
      <c r="H99" s="220"/>
      <c r="I99" s="220"/>
    </row>
  </sheetData>
  <mergeCells count="1">
    <mergeCell ref="B5:S5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77DD-A140-4AA5-9B11-1794EE31C887}">
  <dimension ref="A1:U28"/>
  <sheetViews>
    <sheetView topLeftCell="B5" workbookViewId="0">
      <selection activeCell="B7" sqref="B7"/>
    </sheetView>
  </sheetViews>
  <sheetFormatPr defaultRowHeight="14.4" x14ac:dyDescent="0.3"/>
  <cols>
    <col min="3" max="3" width="32.5546875" customWidth="1"/>
    <col min="4" max="4" width="11.44140625" customWidth="1"/>
    <col min="5" max="5" width="10.5546875" customWidth="1"/>
    <col min="6" max="6" width="8.21875" customWidth="1"/>
    <col min="8" max="8" width="10.6640625" customWidth="1"/>
    <col min="9" max="9" width="8.109375" customWidth="1"/>
    <col min="11" max="11" width="10.6640625" customWidth="1"/>
    <col min="20" max="20" width="35.88671875" customWidth="1"/>
    <col min="21" max="21" width="29.33203125" customWidth="1"/>
  </cols>
  <sheetData>
    <row r="1" spans="1:21" ht="18" x14ac:dyDescent="0.35">
      <c r="A1" s="106" t="s">
        <v>10</v>
      </c>
    </row>
    <row r="2" spans="1:21" x14ac:dyDescent="0.3">
      <c r="A2" s="1"/>
      <c r="C2" s="30"/>
    </row>
    <row r="5" spans="1:21" ht="15" x14ac:dyDescent="0.3">
      <c r="C5" s="1"/>
      <c r="D5" s="303" t="s">
        <v>243</v>
      </c>
      <c r="E5" s="304"/>
      <c r="F5" s="304"/>
      <c r="G5" s="304"/>
      <c r="H5" s="304"/>
      <c r="I5" s="304"/>
      <c r="J5" s="305"/>
      <c r="K5" s="303" t="s">
        <v>242</v>
      </c>
      <c r="L5" s="304"/>
      <c r="M5" s="304"/>
      <c r="N5" s="304"/>
      <c r="O5" s="304"/>
      <c r="P5" s="272"/>
      <c r="Q5" s="265"/>
      <c r="S5" s="281"/>
      <c r="T5" s="284"/>
      <c r="U5" s="282"/>
    </row>
    <row r="6" spans="1:21" ht="100.8" x14ac:dyDescent="0.3">
      <c r="C6" s="75"/>
      <c r="D6" s="267" t="s">
        <v>246</v>
      </c>
      <c r="E6" s="267" t="s">
        <v>247</v>
      </c>
      <c r="F6" s="273" t="s">
        <v>248</v>
      </c>
      <c r="G6" s="267" t="s">
        <v>249</v>
      </c>
      <c r="H6" s="267" t="s">
        <v>250</v>
      </c>
      <c r="I6" s="273" t="s">
        <v>248</v>
      </c>
      <c r="J6" s="42" t="s">
        <v>251</v>
      </c>
      <c r="K6" s="267" t="s">
        <v>246</v>
      </c>
      <c r="L6" s="267" t="s">
        <v>247</v>
      </c>
      <c r="M6" s="273" t="s">
        <v>248</v>
      </c>
      <c r="N6" s="267" t="s">
        <v>249</v>
      </c>
      <c r="O6" s="267" t="s">
        <v>250</v>
      </c>
      <c r="P6" s="273" t="s">
        <v>248</v>
      </c>
      <c r="Q6" s="42" t="s">
        <v>251</v>
      </c>
      <c r="S6" s="281"/>
      <c r="T6" s="281"/>
      <c r="U6" s="283"/>
    </row>
    <row r="7" spans="1:21" x14ac:dyDescent="0.3">
      <c r="C7" s="75" t="s">
        <v>244</v>
      </c>
      <c r="D7" s="268" t="s">
        <v>47</v>
      </c>
      <c r="E7" s="266"/>
      <c r="F7" s="81" t="str">
        <f>IFERROR(+E7/D7*100,"")</f>
        <v/>
      </c>
      <c r="G7" s="268" t="s">
        <v>46</v>
      </c>
      <c r="H7" s="266"/>
      <c r="I7" s="81" t="str">
        <f>IFERROR(+H7/G7*100,"")</f>
        <v/>
      </c>
      <c r="J7" s="327">
        <f>+E7+H7</f>
        <v>0</v>
      </c>
      <c r="K7" s="263"/>
      <c r="L7" s="264"/>
      <c r="M7" s="274"/>
      <c r="N7" s="263"/>
      <c r="O7" s="264"/>
      <c r="P7" s="264"/>
      <c r="Q7" s="264"/>
      <c r="S7" s="281"/>
      <c r="T7" s="281"/>
      <c r="U7" s="283"/>
    </row>
    <row r="8" spans="1:21" x14ac:dyDescent="0.3">
      <c r="C8" s="75" t="s">
        <v>245</v>
      </c>
      <c r="D8" s="268" t="s">
        <v>47</v>
      </c>
      <c r="E8" s="266"/>
      <c r="F8" s="81" t="str">
        <f>IFERROR(+E8/D8*100,"")</f>
        <v/>
      </c>
      <c r="G8" s="268" t="s">
        <v>46</v>
      </c>
      <c r="H8" s="266"/>
      <c r="I8" s="81" t="str">
        <f>IFERROR(+H8/G8*100,"")</f>
        <v/>
      </c>
      <c r="J8" s="275">
        <f>+E8+H8</f>
        <v>0</v>
      </c>
      <c r="K8" s="268" t="s">
        <v>48</v>
      </c>
      <c r="L8" s="266"/>
      <c r="M8" s="81" t="str">
        <f>IFERROR(+L8/K8*100,"")</f>
        <v/>
      </c>
      <c r="N8" s="268" t="s">
        <v>49</v>
      </c>
      <c r="O8" s="266"/>
      <c r="P8" s="81" t="str">
        <f>IFERROR(+O8/N8*100,"")</f>
        <v/>
      </c>
      <c r="Q8" s="275">
        <f>+L8+O8</f>
        <v>0</v>
      </c>
      <c r="S8" s="281"/>
      <c r="T8" s="281"/>
      <c r="U8" s="283"/>
    </row>
    <row r="9" spans="1:21" ht="15" x14ac:dyDescent="0.3">
      <c r="S9" s="281"/>
      <c r="T9" s="281"/>
      <c r="U9" s="283"/>
    </row>
    <row r="10" spans="1:21" x14ac:dyDescent="0.3">
      <c r="S10" s="301"/>
      <c r="T10" s="301"/>
      <c r="U10" s="302"/>
    </row>
    <row r="11" spans="1:21" x14ac:dyDescent="0.3"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S11" s="301"/>
      <c r="T11" s="301"/>
      <c r="U11" s="302"/>
    </row>
    <row r="12" spans="1:21" ht="57.6" customHeight="1" x14ac:dyDescent="0.3"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S12" s="281"/>
      <c r="T12" s="281"/>
      <c r="U12" s="283"/>
    </row>
    <row r="13" spans="1:21" ht="67.2" customHeight="1" x14ac:dyDescent="0.3"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S13" s="281"/>
      <c r="T13" s="281"/>
      <c r="U13" s="283"/>
    </row>
    <row r="14" spans="1:21" ht="63.6" customHeight="1" x14ac:dyDescent="0.3"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S14" s="281"/>
      <c r="T14" s="281"/>
      <c r="U14" s="283"/>
    </row>
    <row r="15" spans="1:21" ht="76.2" customHeight="1" x14ac:dyDescent="0.3"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S15" s="281"/>
      <c r="T15" s="281"/>
      <c r="U15" s="283"/>
    </row>
    <row r="16" spans="1:21" ht="60.6" customHeight="1" x14ac:dyDescent="0.3"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S16" s="281"/>
      <c r="T16" s="281"/>
      <c r="U16" s="283"/>
    </row>
    <row r="17" spans="3:21" ht="82.2" customHeight="1" x14ac:dyDescent="0.3"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S17" s="281"/>
      <c r="T17" s="281"/>
      <c r="U17" s="283"/>
    </row>
    <row r="18" spans="3:21" ht="74.400000000000006" customHeight="1" x14ac:dyDescent="0.3"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S18" s="281"/>
      <c r="T18" s="281"/>
      <c r="U18" s="283"/>
    </row>
    <row r="19" spans="3:21" ht="49.2" customHeight="1" x14ac:dyDescent="0.3"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S19" s="281"/>
      <c r="T19" s="281"/>
      <c r="U19" s="283"/>
    </row>
    <row r="20" spans="3:21" ht="79.2" customHeight="1" x14ac:dyDescent="0.3"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S20" s="281"/>
      <c r="T20" s="281"/>
      <c r="U20" s="283"/>
    </row>
    <row r="21" spans="3:21" ht="79.8" customHeight="1" x14ac:dyDescent="0.3"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S21" s="281"/>
      <c r="T21" s="281"/>
      <c r="U21" s="283"/>
    </row>
    <row r="22" spans="3:21" ht="47.4" customHeight="1" x14ac:dyDescent="0.3"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S22" s="281"/>
      <c r="T22" s="281"/>
      <c r="U22" s="283"/>
    </row>
    <row r="23" spans="3:21" ht="82.2" customHeight="1" x14ac:dyDescent="0.3">
      <c r="S23" s="281"/>
      <c r="T23" s="281"/>
      <c r="U23" s="283"/>
    </row>
    <row r="24" spans="3:21" ht="100.2" customHeight="1" x14ac:dyDescent="0.3">
      <c r="S24" s="281"/>
      <c r="T24" s="281"/>
      <c r="U24" s="283"/>
    </row>
    <row r="25" spans="3:21" x14ac:dyDescent="0.3">
      <c r="S25" s="281"/>
      <c r="T25" s="281"/>
      <c r="U25" s="283"/>
    </row>
    <row r="26" spans="3:21" ht="118.8" customHeight="1" x14ac:dyDescent="0.3">
      <c r="S26" s="281"/>
      <c r="T26" s="281"/>
      <c r="U26" s="283"/>
    </row>
    <row r="27" spans="3:21" ht="62.4" customHeight="1" x14ac:dyDescent="0.3">
      <c r="S27" s="281"/>
      <c r="T27" s="281"/>
      <c r="U27" s="283"/>
    </row>
    <row r="28" spans="3:21" ht="137.4" customHeight="1" x14ac:dyDescent="0.3">
      <c r="S28" s="66"/>
      <c r="T28" s="281"/>
      <c r="U28" s="283"/>
    </row>
  </sheetData>
  <mergeCells count="5">
    <mergeCell ref="S10:S11"/>
    <mergeCell ref="T10:T11"/>
    <mergeCell ref="U10:U11"/>
    <mergeCell ref="D5:J5"/>
    <mergeCell ref="K5:O5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1AD0-D327-4AAA-88AE-6C7522EF5097}">
  <dimension ref="A1:Q70"/>
  <sheetViews>
    <sheetView tabSelected="1" topLeftCell="A26" workbookViewId="0">
      <selection activeCell="H37" sqref="H37"/>
    </sheetView>
  </sheetViews>
  <sheetFormatPr defaultRowHeight="14.4" x14ac:dyDescent="0.3"/>
  <cols>
    <col min="4" max="4" width="28.109375" customWidth="1"/>
    <col min="5" max="5" width="18.44140625" customWidth="1"/>
    <col min="8" max="8" width="10.6640625" customWidth="1"/>
    <col min="9" max="9" width="11.6640625" customWidth="1"/>
    <col min="14" max="14" width="14.33203125" customWidth="1"/>
    <col min="15" max="15" width="11.88671875" customWidth="1"/>
    <col min="16" max="16" width="14.5546875" customWidth="1"/>
    <col min="17" max="17" width="12.5546875" customWidth="1"/>
    <col min="18" max="18" width="14.44140625" customWidth="1"/>
    <col min="19" max="19" width="11.33203125" customWidth="1"/>
  </cols>
  <sheetData>
    <row r="1" spans="1:17" ht="21" x14ac:dyDescent="0.4">
      <c r="A1" s="300" t="s">
        <v>282</v>
      </c>
    </row>
    <row r="4" spans="1:17" ht="21" x14ac:dyDescent="0.4">
      <c r="B4" s="149" t="s">
        <v>280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17" x14ac:dyDescent="0.3">
      <c r="B5" s="35"/>
      <c r="J5" s="151"/>
      <c r="K5" s="151"/>
      <c r="M5" s="152"/>
    </row>
    <row r="7" spans="1:17" ht="16.2" thickBot="1" x14ac:dyDescent="0.4">
      <c r="B7" s="153" t="s">
        <v>281</v>
      </c>
      <c r="C7" s="154"/>
      <c r="D7" s="154"/>
      <c r="E7" s="155"/>
      <c r="F7" s="155"/>
    </row>
    <row r="8" spans="1:17" ht="59.4" thickBot="1" x14ac:dyDescent="0.35">
      <c r="B8" s="156" t="s">
        <v>252</v>
      </c>
      <c r="C8" s="157" t="s">
        <v>253</v>
      </c>
      <c r="D8" s="158" t="s">
        <v>258</v>
      </c>
      <c r="E8" s="158" t="s">
        <v>254</v>
      </c>
      <c r="F8" s="159" t="s">
        <v>255</v>
      </c>
      <c r="G8" s="160" t="s">
        <v>256</v>
      </c>
      <c r="H8" s="160" t="s">
        <v>257</v>
      </c>
      <c r="I8" s="160" t="s">
        <v>259</v>
      </c>
      <c r="J8" s="161" t="s">
        <v>35</v>
      </c>
      <c r="K8" s="161" t="s">
        <v>36</v>
      </c>
      <c r="L8" s="160" t="s">
        <v>260</v>
      </c>
      <c r="M8" s="161" t="s">
        <v>37</v>
      </c>
      <c r="N8" s="161" t="s">
        <v>38</v>
      </c>
      <c r="O8" s="160" t="s">
        <v>261</v>
      </c>
      <c r="P8" s="162" t="s">
        <v>262</v>
      </c>
      <c r="Q8" s="163" t="s">
        <v>263</v>
      </c>
    </row>
    <row r="9" spans="1:17" ht="15" thickBot="1" x14ac:dyDescent="0.35">
      <c r="B9" s="164" t="s">
        <v>264</v>
      </c>
      <c r="C9" s="205">
        <f>1000/19</f>
        <v>52.631578947368418</v>
      </c>
      <c r="D9" s="165">
        <v>0.09</v>
      </c>
      <c r="E9" s="166">
        <f>+C9*D9</f>
        <v>4.7368421052631575</v>
      </c>
      <c r="F9" s="201"/>
      <c r="G9" s="166">
        <f>+E9*F9</f>
        <v>0</v>
      </c>
      <c r="H9" s="167">
        <f>39/90</f>
        <v>0.43333333333333335</v>
      </c>
      <c r="I9" s="167">
        <f>8.5/90</f>
        <v>9.4444444444444442E-2</v>
      </c>
      <c r="J9" s="168">
        <f>+H9*G9</f>
        <v>0</v>
      </c>
      <c r="K9" s="169">
        <f>+I9*G9</f>
        <v>0</v>
      </c>
      <c r="L9" s="170">
        <f>+J9*3.66666666666667</f>
        <v>0</v>
      </c>
      <c r="M9" s="78">
        <f t="shared" ref="M9:M10" si="0">IFERROR(+J9/F9,0)</f>
        <v>0</v>
      </c>
      <c r="N9" s="212">
        <f t="shared" ref="N9:N10" si="1">IFERROR(+K9/F9,0)</f>
        <v>0</v>
      </c>
      <c r="O9" s="209">
        <f>+K9*0.0075</f>
        <v>0</v>
      </c>
      <c r="P9" s="171">
        <f>+K9*0.0075*298</f>
        <v>0</v>
      </c>
      <c r="Q9" s="242">
        <f t="shared" ref="Q9:Q19" si="2">+L9+P9</f>
        <v>0</v>
      </c>
    </row>
    <row r="10" spans="1:17" ht="15" thickBot="1" x14ac:dyDescent="0.35">
      <c r="B10" s="172" t="s">
        <v>265</v>
      </c>
      <c r="C10" s="206">
        <f>+C9*2</f>
        <v>105.26315789473684</v>
      </c>
      <c r="D10" s="173">
        <v>0.17299999999999999</v>
      </c>
      <c r="E10" s="166">
        <f>+C10*D10</f>
        <v>18.210526315789473</v>
      </c>
      <c r="F10" s="202"/>
      <c r="G10" s="166">
        <f>+E10*F10</f>
        <v>0</v>
      </c>
      <c r="H10" s="173">
        <v>0.2</v>
      </c>
      <c r="I10" s="173">
        <v>0</v>
      </c>
      <c r="J10" s="168">
        <f>+H10*G10</f>
        <v>0</v>
      </c>
      <c r="K10" s="169">
        <f t="shared" ref="K10:K17" si="3">+I10*G10</f>
        <v>0</v>
      </c>
      <c r="L10" s="170">
        <f>+J10*3.66666666666667</f>
        <v>0</v>
      </c>
      <c r="M10" s="78">
        <f t="shared" si="0"/>
        <v>0</v>
      </c>
      <c r="N10" s="212">
        <f t="shared" si="1"/>
        <v>0</v>
      </c>
      <c r="O10" s="209">
        <f t="shared" ref="O10:O18" si="4">+K10*0.0075</f>
        <v>0</v>
      </c>
      <c r="P10" s="171">
        <f t="shared" ref="P10:P18" si="5">+K10*0.0075*298</f>
        <v>0</v>
      </c>
      <c r="Q10" s="242">
        <f t="shared" si="2"/>
        <v>0</v>
      </c>
    </row>
    <row r="11" spans="1:17" ht="15" thickBot="1" x14ac:dyDescent="0.35">
      <c r="B11" s="174" t="s">
        <v>266</v>
      </c>
      <c r="C11" s="174"/>
      <c r="D11" s="175"/>
      <c r="E11" s="166">
        <f t="shared" ref="E11:E17" si="6">+C11*D11</f>
        <v>0</v>
      </c>
      <c r="F11" s="203"/>
      <c r="G11" s="166">
        <f t="shared" ref="G11:G17" si="7">+E11*F11</f>
        <v>0</v>
      </c>
      <c r="H11" s="175">
        <v>0</v>
      </c>
      <c r="I11" s="175">
        <v>0</v>
      </c>
      <c r="J11" s="168">
        <f t="shared" ref="J11:J17" si="8">+H11*G11</f>
        <v>0</v>
      </c>
      <c r="K11" s="169">
        <f t="shared" si="3"/>
        <v>0</v>
      </c>
      <c r="L11" s="170">
        <f t="shared" ref="L11:L18" si="9">+J11*3.66666666666667</f>
        <v>0</v>
      </c>
      <c r="M11" s="78">
        <f>IFERROR(+J11/F11,0)</f>
        <v>0</v>
      </c>
      <c r="N11" s="212">
        <f>IFERROR(+K11/F11,0)</f>
        <v>0</v>
      </c>
      <c r="O11" s="209">
        <f t="shared" si="4"/>
        <v>0</v>
      </c>
      <c r="P11" s="171">
        <f t="shared" si="5"/>
        <v>0</v>
      </c>
      <c r="Q11" s="242">
        <f t="shared" si="2"/>
        <v>0</v>
      </c>
    </row>
    <row r="12" spans="1:17" ht="15" thickBot="1" x14ac:dyDescent="0.35">
      <c r="B12" s="174" t="s">
        <v>267</v>
      </c>
      <c r="C12" s="174"/>
      <c r="D12" s="175"/>
      <c r="E12" s="166"/>
      <c r="F12" s="203"/>
      <c r="G12" s="166">
        <f t="shared" si="7"/>
        <v>0</v>
      </c>
      <c r="H12" s="175">
        <v>0</v>
      </c>
      <c r="I12" s="175">
        <v>0</v>
      </c>
      <c r="J12" s="168">
        <f t="shared" si="8"/>
        <v>0</v>
      </c>
      <c r="K12" s="169">
        <f t="shared" si="3"/>
        <v>0</v>
      </c>
      <c r="L12" s="170">
        <f t="shared" si="9"/>
        <v>0</v>
      </c>
      <c r="M12" s="78">
        <f t="shared" ref="M12:M18" si="10">IFERROR(+J12/F12,0)</f>
        <v>0</v>
      </c>
      <c r="N12" s="212">
        <f t="shared" ref="N12:N18" si="11">IFERROR(+K12/F12,0)</f>
        <v>0</v>
      </c>
      <c r="O12" s="209">
        <f t="shared" si="4"/>
        <v>0</v>
      </c>
      <c r="P12" s="171">
        <f t="shared" si="5"/>
        <v>0</v>
      </c>
      <c r="Q12" s="242">
        <f t="shared" si="2"/>
        <v>0</v>
      </c>
    </row>
    <row r="13" spans="1:17" ht="15" thickBot="1" x14ac:dyDescent="0.35">
      <c r="B13" s="174" t="s">
        <v>268</v>
      </c>
      <c r="C13" s="174"/>
      <c r="D13" s="175"/>
      <c r="E13" s="166">
        <f t="shared" si="6"/>
        <v>0</v>
      </c>
      <c r="F13" s="203"/>
      <c r="G13" s="166">
        <f t="shared" si="7"/>
        <v>0</v>
      </c>
      <c r="H13" s="175">
        <v>0</v>
      </c>
      <c r="I13" s="175">
        <v>0</v>
      </c>
      <c r="J13" s="168">
        <f t="shared" si="8"/>
        <v>0</v>
      </c>
      <c r="K13" s="169">
        <f t="shared" si="3"/>
        <v>0</v>
      </c>
      <c r="L13" s="170">
        <f t="shared" si="9"/>
        <v>0</v>
      </c>
      <c r="M13" s="78">
        <f t="shared" si="10"/>
        <v>0</v>
      </c>
      <c r="N13" s="212">
        <f t="shared" si="11"/>
        <v>0</v>
      </c>
      <c r="O13" s="209">
        <f t="shared" si="4"/>
        <v>0</v>
      </c>
      <c r="P13" s="171">
        <f t="shared" si="5"/>
        <v>0</v>
      </c>
      <c r="Q13" s="242">
        <f t="shared" si="2"/>
        <v>0</v>
      </c>
    </row>
    <row r="14" spans="1:17" ht="15" thickBot="1" x14ac:dyDescent="0.35">
      <c r="B14" s="174" t="s">
        <v>269</v>
      </c>
      <c r="C14" s="244">
        <f>+E14/D14</f>
        <v>53.333333333333336</v>
      </c>
      <c r="D14" s="175">
        <v>0.3</v>
      </c>
      <c r="E14" s="166">
        <v>16</v>
      </c>
      <c r="F14" s="203"/>
      <c r="G14" s="166">
        <f t="shared" si="7"/>
        <v>0</v>
      </c>
      <c r="H14" s="175">
        <v>0.25</v>
      </c>
      <c r="I14" s="175">
        <v>2.3E-2</v>
      </c>
      <c r="J14" s="168">
        <f t="shared" si="8"/>
        <v>0</v>
      </c>
      <c r="K14" s="169">
        <f t="shared" si="3"/>
        <v>0</v>
      </c>
      <c r="L14" s="170">
        <f t="shared" si="9"/>
        <v>0</v>
      </c>
      <c r="M14" s="78">
        <f t="shared" si="10"/>
        <v>0</v>
      </c>
      <c r="N14" s="212">
        <f t="shared" si="11"/>
        <v>0</v>
      </c>
      <c r="O14" s="209">
        <f t="shared" si="4"/>
        <v>0</v>
      </c>
      <c r="P14" s="171">
        <f t="shared" si="5"/>
        <v>0</v>
      </c>
      <c r="Q14" s="242">
        <f t="shared" si="2"/>
        <v>0</v>
      </c>
    </row>
    <row r="15" spans="1:17" ht="15" thickBot="1" x14ac:dyDescent="0.35">
      <c r="B15" s="174" t="s">
        <v>270</v>
      </c>
      <c r="C15" s="174">
        <v>12</v>
      </c>
      <c r="D15" s="175"/>
      <c r="E15" s="166">
        <f t="shared" si="6"/>
        <v>0</v>
      </c>
      <c r="F15" s="203"/>
      <c r="G15" s="166">
        <f t="shared" si="7"/>
        <v>0</v>
      </c>
      <c r="H15" s="175">
        <v>0</v>
      </c>
      <c r="I15" s="175">
        <v>0</v>
      </c>
      <c r="J15" s="168">
        <f t="shared" si="8"/>
        <v>0</v>
      </c>
      <c r="K15" s="169">
        <f t="shared" si="3"/>
        <v>0</v>
      </c>
      <c r="L15" s="170">
        <f t="shared" si="9"/>
        <v>0</v>
      </c>
      <c r="M15" s="78">
        <f t="shared" si="10"/>
        <v>0</v>
      </c>
      <c r="N15" s="212">
        <f t="shared" si="11"/>
        <v>0</v>
      </c>
      <c r="O15" s="209">
        <f t="shared" si="4"/>
        <v>0</v>
      </c>
      <c r="P15" s="171">
        <f t="shared" si="5"/>
        <v>0</v>
      </c>
      <c r="Q15" s="242">
        <f t="shared" si="2"/>
        <v>0</v>
      </c>
    </row>
    <row r="16" spans="1:17" ht="15" thickBot="1" x14ac:dyDescent="0.35">
      <c r="B16" s="174" t="s">
        <v>271</v>
      </c>
      <c r="C16" s="174"/>
      <c r="D16" s="175"/>
      <c r="E16" s="166">
        <f t="shared" si="6"/>
        <v>0</v>
      </c>
      <c r="F16" s="203"/>
      <c r="G16" s="166">
        <f t="shared" si="7"/>
        <v>0</v>
      </c>
      <c r="H16" s="175">
        <v>0</v>
      </c>
      <c r="I16" s="175">
        <v>0</v>
      </c>
      <c r="J16" s="168">
        <f t="shared" si="8"/>
        <v>0</v>
      </c>
      <c r="K16" s="169">
        <f t="shared" si="3"/>
        <v>0</v>
      </c>
      <c r="L16" s="170">
        <f t="shared" si="9"/>
        <v>0</v>
      </c>
      <c r="M16" s="78">
        <f t="shared" si="10"/>
        <v>0</v>
      </c>
      <c r="N16" s="212">
        <f t="shared" si="11"/>
        <v>0</v>
      </c>
      <c r="O16" s="209">
        <f t="shared" si="4"/>
        <v>0</v>
      </c>
      <c r="P16" s="171">
        <f t="shared" si="5"/>
        <v>0</v>
      </c>
      <c r="Q16" s="242">
        <f t="shared" si="2"/>
        <v>0</v>
      </c>
    </row>
    <row r="17" spans="1:17" ht="15" thickBot="1" x14ac:dyDescent="0.35">
      <c r="B17" s="174" t="s">
        <v>271</v>
      </c>
      <c r="C17" s="174"/>
      <c r="D17" s="175"/>
      <c r="E17" s="166">
        <f t="shared" si="6"/>
        <v>0</v>
      </c>
      <c r="F17" s="203"/>
      <c r="G17" s="166">
        <f t="shared" si="7"/>
        <v>0</v>
      </c>
      <c r="H17" s="175">
        <v>0</v>
      </c>
      <c r="I17" s="175">
        <v>0</v>
      </c>
      <c r="J17" s="168">
        <f t="shared" si="8"/>
        <v>0</v>
      </c>
      <c r="K17" s="169">
        <f t="shared" si="3"/>
        <v>0</v>
      </c>
      <c r="L17" s="170">
        <f t="shared" si="9"/>
        <v>0</v>
      </c>
      <c r="M17" s="78">
        <f t="shared" si="10"/>
        <v>0</v>
      </c>
      <c r="N17" s="212">
        <f t="shared" si="11"/>
        <v>0</v>
      </c>
      <c r="O17" s="209">
        <f t="shared" si="4"/>
        <v>0</v>
      </c>
      <c r="P17" s="171">
        <f t="shared" si="5"/>
        <v>0</v>
      </c>
      <c r="Q17" s="242">
        <f t="shared" si="2"/>
        <v>0</v>
      </c>
    </row>
    <row r="18" spans="1:17" ht="15" thickBot="1" x14ac:dyDescent="0.35">
      <c r="B18" s="176" t="s">
        <v>272</v>
      </c>
      <c r="C18" s="207" t="s">
        <v>39</v>
      </c>
      <c r="D18" s="177" t="s">
        <v>39</v>
      </c>
      <c r="E18" s="178" t="s">
        <v>39</v>
      </c>
      <c r="F18" s="204"/>
      <c r="G18" s="179" t="s">
        <v>39</v>
      </c>
      <c r="H18" s="177" t="s">
        <v>39</v>
      </c>
      <c r="I18" s="177" t="s">
        <v>39</v>
      </c>
      <c r="J18" s="180">
        <f>2.145*F18</f>
        <v>0</v>
      </c>
      <c r="K18" s="181">
        <f>0.213*F18</f>
        <v>0</v>
      </c>
      <c r="L18" s="182">
        <f t="shared" si="9"/>
        <v>0</v>
      </c>
      <c r="M18" s="78">
        <f t="shared" si="10"/>
        <v>0</v>
      </c>
      <c r="N18" s="212">
        <f t="shared" si="11"/>
        <v>0</v>
      </c>
      <c r="O18" s="210">
        <f t="shared" si="4"/>
        <v>0</v>
      </c>
      <c r="P18" s="171">
        <f t="shared" si="5"/>
        <v>0</v>
      </c>
      <c r="Q18" s="243">
        <f t="shared" si="2"/>
        <v>0</v>
      </c>
    </row>
    <row r="19" spans="1:17" ht="15" thickBot="1" x14ac:dyDescent="0.35">
      <c r="B19" s="183" t="s">
        <v>273</v>
      </c>
      <c r="C19" s="184"/>
      <c r="D19" s="185"/>
      <c r="E19" s="185"/>
      <c r="F19" s="185"/>
      <c r="G19" s="185"/>
      <c r="H19" s="185"/>
      <c r="I19" s="185"/>
      <c r="J19" s="186">
        <f>SUM(J9:J18)</f>
        <v>0</v>
      </c>
      <c r="K19" s="186">
        <f>SUM(K9:K18)</f>
        <v>0</v>
      </c>
      <c r="L19" s="208">
        <f>SUM(L9:L18)</f>
        <v>0</v>
      </c>
      <c r="M19" s="185"/>
      <c r="N19" s="185"/>
      <c r="O19" s="211">
        <f>SUM(O9:O18)</f>
        <v>0</v>
      </c>
      <c r="P19" s="187">
        <f>SUM(P9:P18)</f>
        <v>0</v>
      </c>
      <c r="Q19" s="186">
        <f t="shared" si="2"/>
        <v>0</v>
      </c>
    </row>
    <row r="20" spans="1:17" ht="15" thickBot="1" x14ac:dyDescent="0.35">
      <c r="B20" s="183"/>
      <c r="C20" s="184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8"/>
      <c r="Q20" s="189"/>
    </row>
    <row r="21" spans="1:17" ht="15" thickBot="1" x14ac:dyDescent="0.35">
      <c r="B21" s="183"/>
      <c r="C21" s="184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8"/>
      <c r="Q21" s="189"/>
    </row>
    <row r="22" spans="1:17" ht="15" thickBot="1" x14ac:dyDescent="0.35">
      <c r="B22" s="183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2"/>
      <c r="Q22" s="193"/>
    </row>
    <row r="23" spans="1:17" x14ac:dyDescent="0.3"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N23" s="194"/>
      <c r="O23" s="194"/>
      <c r="P23" s="194"/>
    </row>
    <row r="24" spans="1:17" x14ac:dyDescent="0.3"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O24" s="194"/>
      <c r="P24" s="194"/>
    </row>
    <row r="25" spans="1:17" ht="252" x14ac:dyDescent="0.3">
      <c r="B25" s="195" t="s">
        <v>274</v>
      </c>
      <c r="C25" s="196" t="s">
        <v>275</v>
      </c>
      <c r="D25" s="196" t="s">
        <v>276</v>
      </c>
      <c r="E25" s="196" t="s">
        <v>275</v>
      </c>
      <c r="F25" s="195"/>
      <c r="G25" s="197"/>
      <c r="H25" s="198" t="s">
        <v>277</v>
      </c>
      <c r="I25" s="196" t="s">
        <v>278</v>
      </c>
      <c r="J25" s="199" t="s">
        <v>279</v>
      </c>
      <c r="K25" s="199" t="s">
        <v>279</v>
      </c>
      <c r="L25" s="195"/>
      <c r="M25" s="195"/>
      <c r="N25" s="200"/>
      <c r="O25" s="195"/>
      <c r="P25" s="195"/>
    </row>
    <row r="27" spans="1:17" ht="15" x14ac:dyDescent="0.3">
      <c r="A27" s="220"/>
      <c r="B27" s="220"/>
      <c r="C27" s="328"/>
      <c r="D27" s="329"/>
      <c r="E27" s="330"/>
      <c r="F27" s="220"/>
      <c r="G27" s="220"/>
      <c r="H27" s="220"/>
      <c r="I27" s="220"/>
      <c r="J27" s="220"/>
      <c r="K27" s="220"/>
      <c r="L27" s="220"/>
    </row>
    <row r="28" spans="1:17" x14ac:dyDescent="0.3">
      <c r="A28" s="220"/>
      <c r="B28" s="220"/>
      <c r="C28" s="328"/>
      <c r="D28" s="328"/>
      <c r="E28" s="331"/>
      <c r="F28" s="220"/>
      <c r="G28" s="220"/>
      <c r="H28" s="220"/>
      <c r="I28" s="220"/>
      <c r="J28" s="220"/>
      <c r="K28" s="220"/>
      <c r="L28" s="220"/>
    </row>
    <row r="29" spans="1:17" x14ac:dyDescent="0.3">
      <c r="A29" s="220"/>
      <c r="B29" s="220"/>
      <c r="C29" s="328"/>
      <c r="D29" s="328"/>
      <c r="E29" s="331"/>
      <c r="F29" s="220"/>
      <c r="G29" s="220"/>
      <c r="H29" s="220"/>
      <c r="I29" s="220"/>
      <c r="J29" s="220"/>
      <c r="K29" s="220"/>
      <c r="L29" s="220"/>
    </row>
    <row r="30" spans="1:17" x14ac:dyDescent="0.3">
      <c r="A30" s="220"/>
      <c r="B30" s="220"/>
      <c r="C30" s="328"/>
      <c r="D30" s="328"/>
      <c r="E30" s="331"/>
      <c r="F30" s="220"/>
      <c r="G30" s="220"/>
      <c r="H30" s="220"/>
      <c r="I30" s="220"/>
      <c r="J30" s="220"/>
      <c r="K30" s="220"/>
      <c r="L30" s="220"/>
    </row>
    <row r="31" spans="1:17" x14ac:dyDescent="0.3">
      <c r="A31" s="220"/>
      <c r="B31" s="220"/>
      <c r="C31" s="328"/>
      <c r="D31" s="328"/>
      <c r="E31" s="331"/>
      <c r="F31" s="220"/>
      <c r="G31" s="220"/>
      <c r="H31" s="220"/>
      <c r="I31" s="220"/>
      <c r="J31" s="220"/>
      <c r="K31" s="220"/>
      <c r="L31" s="220"/>
    </row>
    <row r="32" spans="1:17" x14ac:dyDescent="0.3">
      <c r="A32" s="220"/>
      <c r="B32" s="220"/>
      <c r="C32" s="328"/>
      <c r="D32" s="328"/>
      <c r="E32" s="331"/>
      <c r="F32" s="220"/>
      <c r="G32" s="220"/>
      <c r="H32" s="220"/>
      <c r="I32" s="220"/>
      <c r="J32" s="220"/>
      <c r="K32" s="220"/>
      <c r="L32" s="220"/>
    </row>
    <row r="33" spans="1:12" x14ac:dyDescent="0.3">
      <c r="A33" s="220"/>
      <c r="B33" s="220"/>
      <c r="C33" s="328"/>
      <c r="D33" s="328"/>
      <c r="E33" s="331"/>
      <c r="F33" s="220"/>
      <c r="G33" s="220"/>
      <c r="H33" s="220"/>
      <c r="I33" s="220"/>
      <c r="J33" s="220"/>
      <c r="K33" s="220"/>
      <c r="L33" s="220"/>
    </row>
    <row r="34" spans="1:12" x14ac:dyDescent="0.3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</row>
    <row r="35" spans="1:12" x14ac:dyDescent="0.3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</row>
    <row r="36" spans="1:12" x14ac:dyDescent="0.3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</row>
    <row r="37" spans="1:12" x14ac:dyDescent="0.3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  <row r="38" spans="1:12" x14ac:dyDescent="0.3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</row>
    <row r="39" spans="1:12" x14ac:dyDescent="0.3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</row>
    <row r="40" spans="1:12" x14ac:dyDescent="0.3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</row>
    <row r="41" spans="1:12" x14ac:dyDescent="0.3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</row>
    <row r="42" spans="1:12" x14ac:dyDescent="0.3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</row>
    <row r="43" spans="1:12" x14ac:dyDescent="0.3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</row>
    <row r="44" spans="1:12" x14ac:dyDescent="0.3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</row>
    <row r="45" spans="1:12" x14ac:dyDescent="0.3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</row>
    <row r="46" spans="1:12" x14ac:dyDescent="0.3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</row>
    <row r="47" spans="1:12" x14ac:dyDescent="0.3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</row>
    <row r="48" spans="1:12" x14ac:dyDescent="0.3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</row>
    <row r="49" spans="1:12" x14ac:dyDescent="0.3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</row>
    <row r="50" spans="1:12" x14ac:dyDescent="0.3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</row>
    <row r="51" spans="1:12" x14ac:dyDescent="0.3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</row>
    <row r="52" spans="1:12" x14ac:dyDescent="0.3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</row>
    <row r="53" spans="1:12" x14ac:dyDescent="0.3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</row>
    <row r="54" spans="1:12" x14ac:dyDescent="0.3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</row>
    <row r="55" spans="1:12" x14ac:dyDescent="0.3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</row>
    <row r="56" spans="1:12" x14ac:dyDescent="0.3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</row>
    <row r="57" spans="1:12" x14ac:dyDescent="0.3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</row>
    <row r="58" spans="1:12" x14ac:dyDescent="0.3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</row>
    <row r="59" spans="1:12" x14ac:dyDescent="0.3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</row>
    <row r="60" spans="1:12" x14ac:dyDescent="0.3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x14ac:dyDescent="0.3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</row>
    <row r="62" spans="1:12" x14ac:dyDescent="0.3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</row>
    <row r="63" spans="1:12" x14ac:dyDescent="0.3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</row>
    <row r="64" spans="1:12" x14ac:dyDescent="0.3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1:12" x14ac:dyDescent="0.3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</row>
    <row r="66" spans="1:12" x14ac:dyDescent="0.3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</row>
    <row r="67" spans="1:12" x14ac:dyDescent="0.3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</row>
    <row r="68" spans="1:12" x14ac:dyDescent="0.3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</row>
    <row r="69" spans="1:12" x14ac:dyDescent="0.3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</row>
    <row r="70" spans="1:12" x14ac:dyDescent="0.3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</row>
  </sheetData>
  <pageMargins left="0.7" right="0.7" top="0.75" bottom="0.75" header="0.3" footer="0.3"/>
  <pageSetup paperSize="9" orientation="portrait" horizontalDpi="90" verticalDpi="9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9" ma:contentTypeDescription="Opret et nyt dokument." ma:contentTypeScope="" ma:versionID="11cd802d3e691fc73aef35af2f4d6358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c5279842b6896caa245d6f1dd29d9b3c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ledmærker" ma:readOnly="false" ma:fieldId="{5cf76f15-5ced-4ddc-b409-7134ff3c332f}" ma:taxonomyMulti="true" ma:sspId="fd098e62-08d8-4b94-9d0e-c56b82300a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8de68d33-f25f-415c-9877-3568b0b6fe0e}" ma:internalName="TaxCatchAll" ma:showField="CatchAllData" ma:web="3cb11f44-5089-44be-a7dd-4fed73cd74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2C63FB-184F-4756-9BF1-6F6E5964D1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1CBFF-C648-481B-8758-D52F23B0A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121e20-e7f1-46f8-9cf0-3dcc1c9d6a71"/>
    <ds:schemaRef ds:uri="3cb11f44-5089-44be-a7dd-4fed73cd74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</vt:i4>
      </vt:variant>
    </vt:vector>
  </HeadingPairs>
  <TitlesOfParts>
    <vt:vector size="10" baseType="lpstr">
      <vt:lpstr>Forest</vt:lpstr>
      <vt:lpstr>CO2-potential</vt:lpstr>
      <vt:lpstr>PtX</vt:lpstr>
      <vt:lpstr>Wind and PVs</vt:lpstr>
      <vt:lpstr>Surplus heat</vt:lpstr>
      <vt:lpstr>Protein crops</vt:lpstr>
      <vt:lpstr>Husbandry</vt:lpstr>
      <vt:lpstr>Organic soil</vt:lpstr>
      <vt:lpstr>Marine biomass</vt:lpstr>
      <vt:lpstr>'CO2-potential'!OLE_LINK3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Strunge Folkmann</dc:creator>
  <cp:lastModifiedBy>Pia Strunge Folkmann</cp:lastModifiedBy>
  <dcterms:created xsi:type="dcterms:W3CDTF">2022-08-31T20:00:30Z</dcterms:created>
  <dcterms:modified xsi:type="dcterms:W3CDTF">2022-12-14T21:10:09Z</dcterms:modified>
</cp:coreProperties>
</file>