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lanenergi.sharepoint.com/Fildeling/21-000/21-072 TSI - kom videre/Materialer/Øvelser/Workshop 1/"/>
    </mc:Choice>
  </mc:AlternateContent>
  <xr:revisionPtr revIDLastSave="0" documentId="8_{C594AD29-48D5-4694-BC8A-79CC9ECC00B4}" xr6:coauthVersionLast="47" xr6:coauthVersionMax="47" xr10:uidLastSave="{00000000-0000-0000-0000-000000000000}"/>
  <bookViews>
    <workbookView xWindow="-108" yWindow="-108" windowWidth="23256" windowHeight="12456" xr2:uid="{B97DBEA5-EB97-40FB-8063-E85AB0B43433}"/>
  </bookViews>
  <sheets>
    <sheet name="PtX" sheetId="3" r:id="rId1"/>
    <sheet name="CO2-potentiale" sheetId="8" r:id="rId2"/>
    <sheet name="Overskudsvarme" sheetId="13" r:id="rId3"/>
    <sheet name="Sol og vind" sheetId="7" r:id="rId4"/>
    <sheet name="Lavbundsjord" sheetId="9" r:id="rId5"/>
    <sheet name="Skov" sheetId="10" r:id="rId6"/>
    <sheet name="Husdyrhold" sheetId="11" r:id="rId7"/>
    <sheet name="Proteinafgrøder" sheetId="12" r:id="rId8"/>
    <sheet name="Marin biomasse" sheetId="14" r:id="rId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8" i="9" l="1"/>
  <c r="H8" i="9"/>
  <c r="H7" i="9"/>
  <c r="L11" i="3" l="1"/>
  <c r="E22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5" i="12"/>
  <c r="S23" i="11"/>
  <c r="H15" i="13"/>
  <c r="G20" i="13"/>
  <c r="G17" i="13"/>
  <c r="G18" i="13" s="1"/>
  <c r="H46" i="3" l="1"/>
  <c r="J18" i="14" l="1"/>
  <c r="K18" i="14"/>
  <c r="E17" i="14"/>
  <c r="G17" i="14" s="1"/>
  <c r="J17" i="14" s="1"/>
  <c r="M17" i="14" s="1"/>
  <c r="E16" i="14"/>
  <c r="E15" i="14"/>
  <c r="G15" i="14" s="1"/>
  <c r="K15" i="14" s="1"/>
  <c r="O15" i="14" s="1"/>
  <c r="C14" i="14"/>
  <c r="E13" i="14"/>
  <c r="G12" i="14"/>
  <c r="K12" i="14" s="1"/>
  <c r="E11" i="14"/>
  <c r="G11" i="14" s="1"/>
  <c r="J11" i="14" s="1"/>
  <c r="M11" i="14" s="1"/>
  <c r="I9" i="14"/>
  <c r="H9" i="14"/>
  <c r="C9" i="14"/>
  <c r="C10" i="14" s="1"/>
  <c r="E10" i="14" s="1"/>
  <c r="J12" i="14" l="1"/>
  <c r="M12" i="14" s="1"/>
  <c r="P12" i="14"/>
  <c r="N12" i="14"/>
  <c r="O12" i="14"/>
  <c r="P18" i="14"/>
  <c r="N18" i="14"/>
  <c r="L18" i="14"/>
  <c r="Q18" i="14" s="1"/>
  <c r="M18" i="14"/>
  <c r="P15" i="14"/>
  <c r="N15" i="14"/>
  <c r="J15" i="14"/>
  <c r="M15" i="14" s="1"/>
  <c r="O18" i="14"/>
  <c r="E9" i="14"/>
  <c r="G9" i="14" s="1"/>
  <c r="K9" i="14" s="1"/>
  <c r="N9" i="14" s="1"/>
  <c r="K17" i="14"/>
  <c r="N17" i="14" s="1"/>
  <c r="L11" i="14"/>
  <c r="G10" i="14"/>
  <c r="K11" i="14"/>
  <c r="N11" i="14" s="1"/>
  <c r="G13" i="14"/>
  <c r="G14" i="14"/>
  <c r="J14" i="14" s="1"/>
  <c r="M14" i="14" s="1"/>
  <c r="G16" i="14"/>
  <c r="P17" i="14" l="1"/>
  <c r="O17" i="14"/>
  <c r="K16" i="14"/>
  <c r="N16" i="14" s="1"/>
  <c r="J16" i="14"/>
  <c r="M16" i="14" s="1"/>
  <c r="P11" i="14"/>
  <c r="Q11" i="14" s="1"/>
  <c r="O11" i="14"/>
  <c r="K13" i="14"/>
  <c r="N13" i="14" s="1"/>
  <c r="J13" i="14"/>
  <c r="M13" i="14" s="1"/>
  <c r="J9" i="14"/>
  <c r="P9" i="14"/>
  <c r="O9" i="14"/>
  <c r="L12" i="14"/>
  <c r="Q12" i="14" s="1"/>
  <c r="L15" i="14"/>
  <c r="Q15" i="14" s="1"/>
  <c r="L17" i="14"/>
  <c r="K14" i="14"/>
  <c r="J10" i="14"/>
  <c r="M10" i="14" s="1"/>
  <c r="K10" i="14"/>
  <c r="N10" i="14" s="1"/>
  <c r="L9" i="14" l="1"/>
  <c r="Q9" i="14" s="1"/>
  <c r="M9" i="14"/>
  <c r="Q17" i="14"/>
  <c r="K19" i="14"/>
  <c r="N14" i="14"/>
  <c r="P16" i="14"/>
  <c r="O16" i="14"/>
  <c r="P13" i="14"/>
  <c r="O13" i="14"/>
  <c r="P10" i="14"/>
  <c r="O10" i="14"/>
  <c r="P14" i="14"/>
  <c r="O14" i="14"/>
  <c r="L14" i="14"/>
  <c r="L13" i="14"/>
  <c r="J19" i="14"/>
  <c r="L16" i="14"/>
  <c r="L10" i="14"/>
  <c r="Q16" i="14" l="1"/>
  <c r="Q13" i="14"/>
  <c r="O19" i="14"/>
  <c r="P19" i="14"/>
  <c r="Q14" i="14"/>
  <c r="L19" i="14"/>
  <c r="Q10" i="14"/>
  <c r="F22" i="12"/>
  <c r="D22" i="12"/>
  <c r="D20" i="11"/>
  <c r="E20" i="11"/>
  <c r="F20" i="11"/>
  <c r="G20" i="11"/>
  <c r="H20" i="11"/>
  <c r="I20" i="11"/>
  <c r="J20" i="11"/>
  <c r="K20" i="11"/>
  <c r="L20" i="11"/>
  <c r="M20" i="11"/>
  <c r="N20" i="11"/>
  <c r="O20" i="11"/>
  <c r="P20" i="11"/>
  <c r="Q20" i="11"/>
  <c r="R20" i="11"/>
  <c r="C20" i="11"/>
  <c r="H22" i="12" l="1"/>
  <c r="Q19" i="14"/>
  <c r="S20" i="11"/>
  <c r="S25" i="11" l="1"/>
  <c r="S34" i="11" s="1"/>
  <c r="S35" i="11" s="1"/>
  <c r="P36" i="11" l="1"/>
  <c r="P37" i="11" s="1"/>
  <c r="P38" i="11" s="1"/>
  <c r="E36" i="11"/>
  <c r="E37" i="11" s="1"/>
  <c r="E38" i="11" s="1"/>
  <c r="J36" i="11"/>
  <c r="J37" i="11" s="1"/>
  <c r="J38" i="11" s="1"/>
  <c r="I36" i="11"/>
  <c r="I37" i="11" s="1"/>
  <c r="I38" i="11" s="1"/>
  <c r="L36" i="11"/>
  <c r="L37" i="11" s="1"/>
  <c r="L38" i="11" s="1"/>
  <c r="H36" i="11"/>
  <c r="H37" i="11" s="1"/>
  <c r="H38" i="11" s="1"/>
  <c r="G36" i="11"/>
  <c r="G37" i="11" s="1"/>
  <c r="G38" i="11" s="1"/>
  <c r="D36" i="11"/>
  <c r="D37" i="11" s="1"/>
  <c r="D38" i="11" s="1"/>
  <c r="O36" i="11"/>
  <c r="O37" i="11" s="1"/>
  <c r="O38" i="11" s="1"/>
  <c r="N36" i="11"/>
  <c r="N37" i="11" s="1"/>
  <c r="N38" i="11" s="1"/>
  <c r="K36" i="11"/>
  <c r="K37" i="11" s="1"/>
  <c r="K38" i="11" s="1"/>
  <c r="R36" i="11"/>
  <c r="R37" i="11" s="1"/>
  <c r="R38" i="11" s="1"/>
  <c r="F36" i="11"/>
  <c r="F37" i="11" s="1"/>
  <c r="F38" i="11" s="1"/>
  <c r="Q36" i="11"/>
  <c r="Q37" i="11" s="1"/>
  <c r="Q38" i="11" s="1"/>
  <c r="C36" i="11"/>
  <c r="C37" i="11" s="1"/>
  <c r="C38" i="11" s="1"/>
  <c r="M36" i="11"/>
  <c r="M37" i="11" s="1"/>
  <c r="M38" i="11" s="1"/>
  <c r="S36" i="11"/>
  <c r="S37" i="11" s="1"/>
  <c r="J11" i="8"/>
  <c r="L11" i="8" s="1"/>
  <c r="N11" i="8" s="1"/>
  <c r="P11" i="8" s="1"/>
  <c r="I27" i="7"/>
  <c r="G26" i="7"/>
  <c r="G25" i="7"/>
  <c r="G24" i="7"/>
  <c r="G23" i="7"/>
  <c r="G22" i="7"/>
  <c r="I17" i="7"/>
  <c r="I16" i="7"/>
  <c r="I15" i="7"/>
  <c r="I14" i="7"/>
  <c r="G8" i="3"/>
  <c r="G13" i="3" s="1"/>
  <c r="C11" i="3"/>
  <c r="O28" i="8"/>
  <c r="K28" i="8"/>
  <c r="J28" i="8"/>
  <c r="I28" i="8"/>
  <c r="M16" i="8"/>
  <c r="I28" i="7" l="1"/>
  <c r="G8" i="7" s="1"/>
  <c r="I18" i="7"/>
  <c r="H8" i="7" s="1"/>
  <c r="L28" i="8"/>
  <c r="N28" i="8" s="1"/>
  <c r="P28" i="8" s="1"/>
  <c r="J3" i="8" s="1"/>
  <c r="I4" i="3" s="1"/>
  <c r="I6" i="3" s="1"/>
  <c r="I7" i="3" s="1"/>
  <c r="I8" i="3" l="1"/>
  <c r="I13" i="3"/>
  <c r="I10" i="3"/>
  <c r="I9" i="3"/>
  <c r="F43" i="3" l="1"/>
  <c r="I43" i="3" s="1"/>
  <c r="F42" i="3"/>
  <c r="I42" i="3" s="1"/>
  <c r="I44" i="3" l="1"/>
  <c r="I46" i="3" s="1"/>
  <c r="G22" i="3" l="1"/>
  <c r="G19" i="3"/>
  <c r="G18" i="3"/>
  <c r="G32" i="3"/>
  <c r="C21" i="3"/>
  <c r="G31" i="3"/>
  <c r="I30" i="3"/>
  <c r="G25" i="3" l="1"/>
  <c r="G12" i="3"/>
  <c r="I12" i="3" s="1"/>
  <c r="G33" i="3"/>
  <c r="G23" i="3" s="1"/>
  <c r="G34" i="3"/>
  <c r="G26" i="3" s="1"/>
  <c r="I16" i="3" l="1"/>
  <c r="I18" i="3" s="1"/>
  <c r="I25" i="3" s="1"/>
  <c r="H6" i="13" s="1"/>
  <c r="G35" i="3"/>
  <c r="I22" i="3" l="1"/>
  <c r="I26" i="3"/>
  <c r="I24" i="3"/>
  <c r="I20" i="3"/>
  <c r="I23" i="3" s="1"/>
  <c r="D7" i="7" s="1"/>
  <c r="F7" i="7" s="1"/>
  <c r="I19" i="3"/>
  <c r="G36" i="3"/>
  <c r="I32" i="3" l="1"/>
  <c r="I29" i="3"/>
  <c r="I34" i="3" s="1"/>
  <c r="H7" i="13" s="1"/>
  <c r="H8" i="13" l="1"/>
  <c r="I36" i="3"/>
  <c r="I31" i="3"/>
  <c r="I35" i="3"/>
  <c r="I33" i="3"/>
  <c r="D6" i="7" s="1"/>
  <c r="H9" i="13" l="1"/>
  <c r="H16" i="13" s="1"/>
  <c r="H17" i="13" s="1"/>
  <c r="H18" i="13" s="1"/>
  <c r="H20" i="13" s="1"/>
  <c r="F6" i="7"/>
  <c r="F8" i="7" s="1"/>
  <c r="I8" i="7" s="1"/>
  <c r="D8" i="7"/>
  <c r="H11" i="13" l="1"/>
  <c r="H12" i="1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Pia Strunge Folkmann</author>
  </authors>
  <commentList>
    <comment ref="E9" authorId="0" shapeId="0" xr:uid="{3F405A9B-5A46-4D75-903B-7D1CEBE0529B}">
      <text>
        <r>
          <rPr>
            <b/>
            <sz val="9"/>
            <color indexed="81"/>
            <rFont val="Tahoma"/>
            <family val="2"/>
          </rPr>
          <t>Pia Strunge Folkmann:</t>
        </r>
        <r>
          <rPr>
            <sz val="9"/>
            <color indexed="81"/>
            <rFont val="Tahoma"/>
            <family val="2"/>
          </rPr>
          <t xml:space="preserve">
Kun kød</t>
        </r>
      </text>
    </comment>
  </commentList>
</comments>
</file>

<file path=xl/sharedStrings.xml><?xml version="1.0" encoding="utf-8"?>
<sst xmlns="http://schemas.openxmlformats.org/spreadsheetml/2006/main" count="373" uniqueCount="295">
  <si>
    <t>PtX</t>
  </si>
  <si>
    <r>
      <t>Metanisering på overskuds-CO</t>
    </r>
    <r>
      <rPr>
        <b/>
        <vertAlign val="subscript"/>
        <sz val="14"/>
        <color theme="1"/>
        <rFont val="Calibri"/>
        <family val="2"/>
        <scheme val="minor"/>
      </rPr>
      <t>2</t>
    </r>
  </si>
  <si>
    <t>PtX - Metanisering (på overskuds-CO2)</t>
  </si>
  <si>
    <t>Skala</t>
  </si>
  <si>
    <t>Beregnet kapacitet</t>
  </si>
  <si>
    <t>CO2 potentiale</t>
  </si>
  <si>
    <t>ton/år</t>
  </si>
  <si>
    <t>Nyttiggjort overskuds-CO2</t>
  </si>
  <si>
    <t>%</t>
  </si>
  <si>
    <t>Brint-forbrug</t>
  </si>
  <si>
    <t>Brint energi</t>
  </si>
  <si>
    <t>TJ/år</t>
  </si>
  <si>
    <t>Øvre brændværdi</t>
  </si>
  <si>
    <t>120 MJ/kg</t>
  </si>
  <si>
    <t>El-forbrug til proces</t>
  </si>
  <si>
    <t>Beregnet jf. Energistyrelsens teknologikatalog. S. 216</t>
  </si>
  <si>
    <t>Elektrolyse-kapacitet (SOEC)</t>
  </si>
  <si>
    <t>MW</t>
  </si>
  <si>
    <t>CH4 ton, beregnet på molvægt: H2 - 2 g, CH4 - 16 g</t>
  </si>
  <si>
    <t>Metan</t>
  </si>
  <si>
    <t>55,5 MJ/kg</t>
  </si>
  <si>
    <t>Overskudsvarme</t>
  </si>
  <si>
    <t>Overskudsvarme beregnet andel af energiinput fra brint jf. Energistyrelsens teknologikatalog s.216</t>
  </si>
  <si>
    <t>Metanol</t>
  </si>
  <si>
    <t>PtX - Metanol (syntese, på overskuds-CO2)</t>
  </si>
  <si>
    <t>Elektrolyse-kapacitet</t>
  </si>
  <si>
    <t>El-forbrug syntese inkl. Elektrolyse</t>
  </si>
  <si>
    <t>Beregnet jf. Energistyrelsens teknologikatalog.</t>
  </si>
  <si>
    <t xml:space="preserve">  - heraf el til syntese alene</t>
  </si>
  <si>
    <t>Overskudsvarme fra metanolproduktion</t>
  </si>
  <si>
    <t>Overskudsvarme efter regenerering til brintanlæg</t>
  </si>
  <si>
    <t>Brint</t>
  </si>
  <si>
    <t xml:space="preserve">PtX - Brint </t>
  </si>
  <si>
    <t>Fuldlasttimer</t>
  </si>
  <si>
    <t>FLH</t>
  </si>
  <si>
    <t>Årlig produktion, brint</t>
  </si>
  <si>
    <t>TJ</t>
  </si>
  <si>
    <t>ton</t>
  </si>
  <si>
    <t>El-forbrug til SOEC elektrolyse</t>
  </si>
  <si>
    <t>Varme forbrug til elektrolyse</t>
  </si>
  <si>
    <t>Regenererbar varme</t>
  </si>
  <si>
    <t>Tabt varme</t>
  </si>
  <si>
    <t>Biogas</t>
  </si>
  <si>
    <t>Beregningstabel øget biogasproduktion</t>
  </si>
  <si>
    <t>Ton gylle</t>
  </si>
  <si>
    <r>
      <t>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 xml:space="preserve"> CH</t>
    </r>
    <r>
      <rPr>
        <b/>
        <vertAlign val="subscript"/>
        <sz val="11"/>
        <color theme="1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 xml:space="preserve"> total  </t>
    </r>
  </si>
  <si>
    <r>
      <t>Metan potentiale Nm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/ton)</t>
    </r>
  </si>
  <si>
    <r>
      <t>Brændværdi 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 xml:space="preserve"> CH</t>
    </r>
    <r>
      <rPr>
        <b/>
        <vertAlign val="subscript"/>
        <sz val="11"/>
        <color theme="1"/>
        <rFont val="Calibri"/>
        <family val="2"/>
        <scheme val="minor"/>
      </rPr>
      <t>4</t>
    </r>
  </si>
  <si>
    <t>Energi-potentiale (TJ)</t>
  </si>
  <si>
    <t xml:space="preserve">Kvæggylle </t>
  </si>
  <si>
    <t>Svinegylle</t>
  </si>
  <si>
    <t>Gylle i alt</t>
  </si>
  <si>
    <t>Udnyttelsesprocent</t>
  </si>
  <si>
    <t>Energi i øget biogasproduktion</t>
  </si>
  <si>
    <t>5.</t>
  </si>
  <si>
    <t>7.</t>
  </si>
  <si>
    <t>Vejledning</t>
  </si>
  <si>
    <t>4.</t>
  </si>
  <si>
    <t>D:</t>
  </si>
  <si>
    <t>E:</t>
  </si>
  <si>
    <t>F:</t>
  </si>
  <si>
    <t xml:space="preserve">G: </t>
  </si>
  <si>
    <r>
      <t>Co</t>
    </r>
    <r>
      <rPr>
        <b/>
        <vertAlign val="subscript"/>
        <sz val="14"/>
        <color theme="1"/>
        <rFont val="Calibri"/>
        <family val="2"/>
        <scheme val="minor"/>
      </rPr>
      <t>2</t>
    </r>
    <r>
      <rPr>
        <b/>
        <sz val="14"/>
        <color theme="1"/>
        <rFont val="Calibri"/>
        <family val="2"/>
        <scheme val="minor"/>
      </rPr>
      <t>-potentialer</t>
    </r>
  </si>
  <si>
    <t>3.</t>
  </si>
  <si>
    <t>Beregning af CO2-potentialer:</t>
  </si>
  <si>
    <r>
      <t>Samlet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-potentiale</t>
    </r>
  </si>
  <si>
    <t>Husdyrgødning</t>
  </si>
  <si>
    <t>1.</t>
  </si>
  <si>
    <t>Find bilag 2a.</t>
  </si>
  <si>
    <t>Co2-potentiale fra gylle og restafgrøder</t>
  </si>
  <si>
    <t>2.</t>
  </si>
  <si>
    <t>Indtast gyllemængder fra bilaget i tabellen.</t>
  </si>
  <si>
    <t>Gylletype</t>
  </si>
  <si>
    <t>Tørstof andel (TS)</t>
  </si>
  <si>
    <t>Ton TS</t>
  </si>
  <si>
    <t>Andel TS omsat</t>
  </si>
  <si>
    <t>TS omsat (ton)</t>
  </si>
  <si>
    <t>CO2 andel (Vægt basis)</t>
  </si>
  <si>
    <t>CO2 (ton)</t>
  </si>
  <si>
    <r>
      <t>Du har nu et estimat på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-potentialet i tons for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fra biogas. Tørstofprocenten er sat højt, da det er forudsat, at der også tilføres biogasanlæg andre biomassetyper med højere tørstofindhold end gylle.</t>
    </r>
  </si>
  <si>
    <t>Kvæggylle</t>
  </si>
  <si>
    <t>Gå til energiregnskabet for 2020. Aflæs antal TJ fra affaldsforbrænding.Indsæt tallet i beregningstabellen for affald i tabel-filen. Du har nu et estimat over CO2-potentialet fra affaldsforbrænding.</t>
  </si>
  <si>
    <t xml:space="preserve">5. </t>
  </si>
  <si>
    <r>
      <t>Gå til energiregnskabet for 2020. Aflæs antal TJ fra afbrænding af biomasse og kopier dem ind i de opgivne celler i tabellen for beregning af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fra biomasseafbrænding. Du har nu et estimat over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-potentialet fra forbrænding af biomasse.</t>
    </r>
  </si>
  <si>
    <t>Blandet gylle</t>
  </si>
  <si>
    <t>6.</t>
  </si>
  <si>
    <r>
      <t>Summen af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-potentialer er nu opgjort og kan bruges til beregning af PtX-potentiale.</t>
    </r>
  </si>
  <si>
    <t>Fjerkrægylle</t>
  </si>
  <si>
    <t>Gylle samlet</t>
  </si>
  <si>
    <t>Affald</t>
  </si>
  <si>
    <t>CO2-potentiale fra affaldsforbrænding</t>
  </si>
  <si>
    <t>Kilde: Notat Miljøstyrelsen 2013: Klimaplan - Udsortering af plast fra affald. https://ens.dk/sites/ens.dk/files/Analyser/1_krav_om_udsortering_af_plast_fra_affald.pdf</t>
  </si>
  <si>
    <t>TJ fra affaldsforbrænding</t>
  </si>
  <si>
    <t>ton CO2/TJ fra affald</t>
  </si>
  <si>
    <t>Biomasseforbrænding</t>
  </si>
  <si>
    <t>Biomasse forbrændingsanlæg</t>
  </si>
  <si>
    <t xml:space="preserve">  Halm</t>
  </si>
  <si>
    <t xml:space="preserve">  Brænde og træflis</t>
  </si>
  <si>
    <t xml:space="preserve">  Træpiller og træaffald</t>
  </si>
  <si>
    <t>TJ fra biomasseafbrænding i alt</t>
  </si>
  <si>
    <t>TJ/ton TS</t>
  </si>
  <si>
    <t>Ton biomasse (TS)</t>
  </si>
  <si>
    <r>
      <t>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vægtandel (molbasis)</t>
    </r>
  </si>
  <si>
    <t>+T82</t>
  </si>
  <si>
    <t>+U82</t>
  </si>
  <si>
    <t>+V82</t>
  </si>
  <si>
    <t>-T18</t>
  </si>
  <si>
    <t>-U17</t>
  </si>
  <si>
    <t>-V16</t>
  </si>
  <si>
    <t>-T27</t>
  </si>
  <si>
    <t>-T28</t>
  </si>
  <si>
    <t>Udnyttelse af overskudsvarme</t>
  </si>
  <si>
    <t>Borehulsanlæg</t>
  </si>
  <si>
    <t>Hvordan overskudsvarmen bedst kan udnyttes,</t>
  </si>
  <si>
    <t>Om det er realistisk, at få den udnyttet, med det fjernvarmebehov der er i det lokalområde I placerer PtX anlæg i, og om I skal overveje en anden placering af PtX anlæggene af den grund,</t>
  </si>
  <si>
    <t>Overskudsvarme fra PtX anlæg</t>
  </si>
  <si>
    <t>Om I tænker geologien gør det muligt at etablere borehulsanlæg i nærheden af PtX anlæggene (hvis der er nogen i gruppen, der ved noget om geologi),</t>
  </si>
  <si>
    <t xml:space="preserve"> Varmebehov til SOEC-anlæg</t>
  </si>
  <si>
    <t>Hvilken udnyttelsesprocent af den beregnede nettoydelse af overskudsvarme I finder rimelig på basis af jeres diskussion. Korrigér udnyttelsesprocenten i øvelsestabellen efter hvad I konkluderer.</t>
  </si>
  <si>
    <t>Nettoydelse overskudsvarme</t>
  </si>
  <si>
    <t>Hvis I har sænket udnyttelsesprocenten til mindre end 100%, skal I rette i celle AI60 i WE2018 endnu en gang. Slet, det I har skrevet i cellen og tast i stedet summen af de 2 lyserøde tal i øvelsestabellen for overskudsvarme.</t>
  </si>
  <si>
    <t>Andel lagret over 5 måneder (ca. maj-sept)</t>
  </si>
  <si>
    <t>Lagringstab</t>
  </si>
  <si>
    <t>% udnyttelse af nettoydelse</t>
  </si>
  <si>
    <t>Nettoeffekt i fjernvarmesystem fra varmelager*</t>
  </si>
  <si>
    <t xml:space="preserve">Samlet nettoydelse fra overskudsvarme i fjernvarmen </t>
  </si>
  <si>
    <t>*på basis af erfaringer fra system i Crailsheim, Tyskland</t>
  </si>
  <si>
    <t>Skala*</t>
  </si>
  <si>
    <t>Dimensionering</t>
  </si>
  <si>
    <r>
      <t>kWh/m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rumfang</t>
    </r>
  </si>
  <si>
    <r>
      <t>Rumfang, m</t>
    </r>
    <r>
      <rPr>
        <vertAlign val="superscript"/>
        <sz val="11"/>
        <rFont val="Calibri"/>
        <family val="2"/>
        <scheme val="minor"/>
      </rPr>
      <t>3</t>
    </r>
  </si>
  <si>
    <t>Varmelagre kapacitet, Mwh</t>
  </si>
  <si>
    <t>Omregnet TJ</t>
  </si>
  <si>
    <t>Areal, hektar v. 35 meters dybde på borehuller</t>
  </si>
  <si>
    <t>*Effekter på basis af varmelager etableret i Brædstrup</t>
  </si>
  <si>
    <t>Sol og vind</t>
  </si>
  <si>
    <t>Fordeling af VE kapacitetsbehov på solceller og vind</t>
  </si>
  <si>
    <t>Heraf havvind (%)</t>
  </si>
  <si>
    <t>Heraf landbaseret (TJ)</t>
  </si>
  <si>
    <t>Vind (TJ)</t>
  </si>
  <si>
    <t>Solceller (TJ)</t>
  </si>
  <si>
    <t>Kontrol skal være &lt; 0</t>
  </si>
  <si>
    <t>El til brintproduktion</t>
  </si>
  <si>
    <t>El til metanol og metanproduktion</t>
  </si>
  <si>
    <t>Sum</t>
  </si>
  <si>
    <t>Produktion fra solceller</t>
  </si>
  <si>
    <t>Solceller - Udbygning</t>
  </si>
  <si>
    <t>Produktion pr. enhed (TJ)</t>
  </si>
  <si>
    <t>Antal eller areal</t>
  </si>
  <si>
    <t>Villatage (4,5 kWp-anlæg)</t>
  </si>
  <si>
    <t>/stk.</t>
  </si>
  <si>
    <t>Etageejendomme (25 kWp-anlæg)</t>
  </si>
  <si>
    <t>Erhvervstage</t>
  </si>
  <si>
    <t>/ha</t>
  </si>
  <si>
    <t>Markbaserede anlæg</t>
  </si>
  <si>
    <t>Nye solceller, produktion</t>
  </si>
  <si>
    <t>Landvindmøller - Udbygning</t>
  </si>
  <si>
    <t>TJ pr. mølle</t>
  </si>
  <si>
    <t>125 m mølle (2,3 MW, 2.800 FLH)</t>
  </si>
  <si>
    <t>stk.</t>
  </si>
  <si>
    <t>138 m mølle (3,5 MW, 3.000 FLH)</t>
  </si>
  <si>
    <t>150 m mølle (3,5 MW, 3.400 FLH)</t>
  </si>
  <si>
    <t>150 m mølle (4,2 MW, 3.000 FLH)</t>
  </si>
  <si>
    <t>180 m mølle (4,2 MW, 3.700 FLH)</t>
  </si>
  <si>
    <t>Total, nye landvindmøller</t>
  </si>
  <si>
    <t>Nye landvindmøller, produktion</t>
  </si>
  <si>
    <t>Udtagning af lavbundsjord</t>
  </si>
  <si>
    <t>Organisk landbrugsjord</t>
  </si>
  <si>
    <t>Organisk permanent græs</t>
  </si>
  <si>
    <t>6-12% kulstof (areal fra bilag 8)</t>
  </si>
  <si>
    <t>6-12% kulstof (areal der udtages - max 100%)</t>
  </si>
  <si>
    <t>&gt;12% kulstof (areal fra bilag 8)</t>
  </si>
  <si>
    <t>&gt;12% kulstof (areal der udtages - max 100%)</t>
  </si>
  <si>
    <t>Udtagning til tør natur (permanent græs)</t>
  </si>
  <si>
    <t>C28</t>
  </si>
  <si>
    <t>C29</t>
  </si>
  <si>
    <t>Udtagning til vådlægning - periodisk vådområde</t>
  </si>
  <si>
    <t>C48</t>
  </si>
  <si>
    <t>C49</t>
  </si>
  <si>
    <t>Øget skovareal</t>
  </si>
  <si>
    <t>Der er ingen tabeller knyttet til denne øvelse</t>
  </si>
  <si>
    <t>Husdyrhold</t>
  </si>
  <si>
    <t>Tabel 1</t>
  </si>
  <si>
    <t>Antal dyr lokalt [årsdyr eller producerede dyr]</t>
  </si>
  <si>
    <t>Sum af Antal dyr</t>
  </si>
  <si>
    <t>Kolonnemærkater</t>
  </si>
  <si>
    <t>Rækkemærkater</t>
  </si>
  <si>
    <t>Ammekøer</t>
  </si>
  <si>
    <t>Avlstyr</t>
  </si>
  <si>
    <t>Fjerkræ</t>
  </si>
  <si>
    <t>FRATS-svin</t>
  </si>
  <si>
    <t>Geder / får</t>
  </si>
  <si>
    <t>Heste</t>
  </si>
  <si>
    <t>Hjortedyr</t>
  </si>
  <si>
    <t>Kvier</t>
  </si>
  <si>
    <t>Pelsdyr</t>
  </si>
  <si>
    <t>Sl. svin</t>
  </si>
  <si>
    <t xml:space="preserve">Slagtekalve 0-6 mdr. </t>
  </si>
  <si>
    <t xml:space="preserve">Slagtekalve 6 mdr. </t>
  </si>
  <si>
    <t>Smågrise</t>
  </si>
  <si>
    <t>Småkalve</t>
  </si>
  <si>
    <t>Årsko, Malkekvæg</t>
  </si>
  <si>
    <t>Årsso</t>
  </si>
  <si>
    <t>Hovedtotal</t>
  </si>
  <si>
    <t>Bindestald</t>
  </si>
  <si>
    <t>Dybstrøelse</t>
  </si>
  <si>
    <t>Friland</t>
  </si>
  <si>
    <t>Løsdrift / boks</t>
  </si>
  <si>
    <t>Løsdrift / boks / bur</t>
  </si>
  <si>
    <t>Løsdrift / spalter</t>
  </si>
  <si>
    <t>Sengestald</t>
  </si>
  <si>
    <t>Tabel 2</t>
  </si>
  <si>
    <t>DE/Dyr*, **</t>
  </si>
  <si>
    <t>DE/geografisk område</t>
  </si>
  <si>
    <t>Landbrugsareal</t>
  </si>
  <si>
    <t>Arealanvendelse 2018' celle D11</t>
  </si>
  <si>
    <t>Permanent græs</t>
  </si>
  <si>
    <t>Arealanvendelse 2018' celle E12</t>
  </si>
  <si>
    <t>Samlet areal i landbrug</t>
  </si>
  <si>
    <t>DE/ha</t>
  </si>
  <si>
    <t xml:space="preserve">Reduktion i ha: </t>
  </si>
  <si>
    <t xml:space="preserve">   Udtaget lavbund</t>
  </si>
  <si>
    <t xml:space="preserve">   Skovrejsning</t>
  </si>
  <si>
    <t xml:space="preserve">   Solceller</t>
  </si>
  <si>
    <t xml:space="preserve">   Afgrøder human konsum/proteinfoder</t>
  </si>
  <si>
    <t>Samlet reduktion i ha landbrugsjord og permanent græs:</t>
  </si>
  <si>
    <t>Reduktion i dyreenheder i alt</t>
  </si>
  <si>
    <t>Reduktion i %</t>
  </si>
  <si>
    <t>Reduktion pr dyregruppe</t>
  </si>
  <si>
    <t>DE efter reduktion</t>
  </si>
  <si>
    <t>Antal dyr i dyregruppe efter reduktion</t>
  </si>
  <si>
    <t>*Normtal for Husdyrgødning</t>
  </si>
  <si>
    <t>**1 dyreenhed svarer til 100 kg kvælstof udskilt ab dyr</t>
  </si>
  <si>
    <t>Proteinafgrøder</t>
  </si>
  <si>
    <t>Afgrødertype</t>
  </si>
  <si>
    <t>Dyrket areal lokalt
[ha]</t>
  </si>
  <si>
    <t>Ændret afgrøde sammensætning
[ha]</t>
  </si>
  <si>
    <t>Nyt areal med afgrøde</t>
  </si>
  <si>
    <t>Kvælstofnorm / ha</t>
  </si>
  <si>
    <t>Estimeret reduktion i kvælstofforbrug (ton)</t>
  </si>
  <si>
    <t xml:space="preserve">Vinterhvede </t>
  </si>
  <si>
    <t xml:space="preserve">Vårhvede </t>
  </si>
  <si>
    <t xml:space="preserve">Rug </t>
  </si>
  <si>
    <t xml:space="preserve">Vinterbyg </t>
  </si>
  <si>
    <t xml:space="preserve">Vårbyg </t>
  </si>
  <si>
    <t xml:space="preserve">Havre </t>
  </si>
  <si>
    <t xml:space="preserve">Triticale og andet korn til modenhed </t>
  </si>
  <si>
    <t>Majs til modenhed</t>
  </si>
  <si>
    <t>Majs til opfodring</t>
  </si>
  <si>
    <t>IE</t>
  </si>
  <si>
    <t xml:space="preserve">Kartofler </t>
  </si>
  <si>
    <t xml:space="preserve">Lucerne </t>
  </si>
  <si>
    <t xml:space="preserve">Bælgsæd til modenhed </t>
  </si>
  <si>
    <t xml:space="preserve">Sukkerroer til fabrik + Foderroer </t>
  </si>
  <si>
    <t xml:space="preserve">Korn og bælgsæd til ensilering (helsæd) </t>
  </si>
  <si>
    <t xml:space="preserve">Græs- og kløvermark i omdriften + Frø til udsæd </t>
  </si>
  <si>
    <t xml:space="preserve">Græsarealer uden for omdriften </t>
  </si>
  <si>
    <t xml:space="preserve">Raps i alt + Hør + Anden industrifrø </t>
  </si>
  <si>
    <t>Kontrol: summen i kolonne E skal være 0.</t>
  </si>
  <si>
    <t>Marin biomasse</t>
  </si>
  <si>
    <t>Tabel 1 - Blå biomasse</t>
  </si>
  <si>
    <t>Co2-effekt af marine virkemidler</t>
  </si>
  <si>
    <t>Produktion</t>
  </si>
  <si>
    <t>Høst/tilvækst (ton pr. ha )</t>
  </si>
  <si>
    <t>Tørstof-indhold</t>
  </si>
  <si>
    <t>Tørstof Høstet pr ha (ton)</t>
  </si>
  <si>
    <t>Areal i kommunen</t>
  </si>
  <si>
    <t>Tørstof potentiale (ton)</t>
  </si>
  <si>
    <t>C-indhold, andel af tørstof</t>
  </si>
  <si>
    <t>N-indhold (andel af tørstof)</t>
  </si>
  <si>
    <t>Total ton C</t>
  </si>
  <si>
    <t>Total ton N</t>
  </si>
  <si>
    <r>
      <t>Fortrængnings-potentiale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, ton</t>
    </r>
  </si>
  <si>
    <t>Ton C/ha</t>
  </si>
  <si>
    <t>Ton N/ha</t>
  </si>
  <si>
    <r>
      <t>N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 effekt (ton N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O)</t>
    </r>
  </si>
  <si>
    <r>
      <t>N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 effekt (ton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-ækv.)</t>
    </r>
  </si>
  <si>
    <t>Samlet emissions-reduktion</t>
  </si>
  <si>
    <t>Muslinger, kød</t>
  </si>
  <si>
    <t>Muslinger, skaller</t>
  </si>
  <si>
    <t>Søstjerner</t>
  </si>
  <si>
    <t>Konksnegle</t>
  </si>
  <si>
    <t>Østers</t>
  </si>
  <si>
    <t>Søsalat</t>
  </si>
  <si>
    <t>Sukkertang</t>
  </si>
  <si>
    <t xml:space="preserve">   Andet tang</t>
  </si>
  <si>
    <t>Ålegræs</t>
  </si>
  <si>
    <t>NA</t>
  </si>
  <si>
    <t>Total CO2-effekt</t>
  </si>
  <si>
    <t xml:space="preserve">Kilder: </t>
  </si>
  <si>
    <t xml:space="preserve">Søsalat: Notat fra DCE – Nationalt Center for Miljø og Energi , 2020.Høst af eutrofieringsbetingede
masseforekomster af søsalat - status på viden om miljøeffekter og økonomi. Muslinger: </t>
  </si>
  <si>
    <t>Søsalat: Notat fra DCE – Nationalt Center for Miljø og Energi , 2020.Høst af eutrofieringsbetingede
masseforekomster af søsalat - status på viden om miljøeffekter og økonomi.</t>
  </si>
  <si>
    <t>Søsalat anslået ud fra Double Crop resultater</t>
  </si>
  <si>
    <t>Søsalat: Nationalt Center for Miljø og energi, 2020</t>
  </si>
  <si>
    <t>Ålegræs: Lange et. al., 2020. Storskala-transplantation af ålegreæs - Metoder og perspektiver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</si>
</sst>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#,##0.0"/>
    <numFmt numFmtId="166" formatCode="#,##0.000"/>
    <numFmt numFmtId="167" formatCode="0.0"/>
    <numFmt numFmtId="168" formatCode="_-* #,##0_-;\-* #,##0_-;_-* &quot;-&quot;??_-;_-@_-"/>
  </numFmts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vertAlign val="subscript"/>
      <sz val="14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999999"/>
      </top>
      <bottom/>
      <diagonal/>
    </border>
    <border>
      <left style="medium">
        <color indexed="64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medium">
        <color indexed="64"/>
      </right>
      <top style="thin">
        <color rgb="FF99999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9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</cellStyleXfs>
  <cellXfs count="297">
    <xf numFmtId="0" fontId="0" fillId="0" borderId="0" xfId="0"/>
    <xf numFmtId="0" fontId="1" fillId="0" borderId="0" xfId="0" applyFont="1"/>
    <xf numFmtId="0" fontId="0" fillId="0" borderId="1" xfId="0" applyBorder="1"/>
    <xf numFmtId="0" fontId="0" fillId="2" borderId="1" xfId="0" applyFill="1" applyBorder="1"/>
    <xf numFmtId="0" fontId="2" fillId="0" borderId="0" xfId="0" applyFont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3" borderId="0" xfId="1" applyFont="1" applyFill="1"/>
    <xf numFmtId="0" fontId="3" fillId="3" borderId="0" xfId="1" applyFill="1"/>
    <xf numFmtId="0" fontId="3" fillId="3" borderId="2" xfId="1" applyFill="1" applyBorder="1" applyAlignment="1">
      <alignment horizontal="left" indent="1"/>
    </xf>
    <xf numFmtId="0" fontId="3" fillId="3" borderId="4" xfId="1" applyFill="1" applyBorder="1"/>
    <xf numFmtId="0" fontId="3" fillId="3" borderId="3" xfId="1" applyFill="1" applyBorder="1"/>
    <xf numFmtId="165" fontId="3" fillId="3" borderId="1" xfId="1" applyNumberFormat="1" applyFill="1" applyBorder="1"/>
    <xf numFmtId="165" fontId="3" fillId="3" borderId="2" xfId="1" applyNumberFormat="1" applyFill="1" applyBorder="1"/>
    <xf numFmtId="0" fontId="3" fillId="3" borderId="5" xfId="1" applyFill="1" applyBorder="1" applyAlignment="1">
      <alignment horizontal="left" indent="1"/>
    </xf>
    <xf numFmtId="0" fontId="3" fillId="3" borderId="6" xfId="1" applyFill="1" applyBorder="1"/>
    <xf numFmtId="165" fontId="3" fillId="3" borderId="8" xfId="1" applyNumberFormat="1" applyFill="1" applyBorder="1"/>
    <xf numFmtId="165" fontId="3" fillId="3" borderId="5" xfId="1" applyNumberFormat="1" applyFill="1" applyBorder="1"/>
    <xf numFmtId="0" fontId="4" fillId="3" borderId="2" xfId="1" applyFont="1" applyFill="1" applyBorder="1"/>
    <xf numFmtId="0" fontId="4" fillId="3" borderId="4" xfId="1" applyFont="1" applyFill="1" applyBorder="1"/>
    <xf numFmtId="0" fontId="4" fillId="3" borderId="4" xfId="1" applyFont="1" applyFill="1" applyBorder="1" applyAlignment="1">
      <alignment horizontal="left"/>
    </xf>
    <xf numFmtId="166" fontId="3" fillId="3" borderId="1" xfId="1" applyNumberFormat="1" applyFill="1" applyBorder="1"/>
    <xf numFmtId="3" fontId="3" fillId="4" borderId="3" xfId="2" applyNumberFormat="1" applyFont="1" applyFill="1" applyBorder="1"/>
    <xf numFmtId="0" fontId="0" fillId="5" borderId="1" xfId="0" applyFill="1" applyBorder="1"/>
    <xf numFmtId="167" fontId="5" fillId="3" borderId="0" xfId="1" applyNumberFormat="1" applyFont="1" applyFill="1"/>
    <xf numFmtId="0" fontId="3" fillId="3" borderId="2" xfId="1" applyFill="1" applyBorder="1"/>
    <xf numFmtId="0" fontId="3" fillId="3" borderId="4" xfId="1" applyFill="1" applyBorder="1" applyAlignment="1">
      <alignment horizontal="left"/>
    </xf>
    <xf numFmtId="3" fontId="3" fillId="3" borderId="1" xfId="1" applyNumberFormat="1" applyFill="1" applyBorder="1"/>
    <xf numFmtId="0" fontId="3" fillId="3" borderId="3" xfId="1" applyFill="1" applyBorder="1" applyAlignment="1">
      <alignment horizontal="right"/>
    </xf>
    <xf numFmtId="0" fontId="3" fillId="3" borderId="2" xfId="1" applyFill="1" applyBorder="1" applyAlignment="1">
      <alignment horizontal="left"/>
    </xf>
    <xf numFmtId="0" fontId="0" fillId="0" borderId="0" xfId="0" applyAlignment="1">
      <alignment wrapText="1"/>
    </xf>
    <xf numFmtId="0" fontId="3" fillId="3" borderId="3" xfId="1" applyFill="1" applyBorder="1" applyAlignment="1">
      <alignment horizontal="left"/>
    </xf>
    <xf numFmtId="3" fontId="3" fillId="0" borderId="1" xfId="1" applyNumberFormat="1" applyBorder="1"/>
    <xf numFmtId="0" fontId="3" fillId="3" borderId="1" xfId="1" applyFill="1" applyBorder="1"/>
    <xf numFmtId="0" fontId="3" fillId="0" borderId="0" xfId="1"/>
    <xf numFmtId="3" fontId="0" fillId="0" borderId="0" xfId="0" applyNumberFormat="1"/>
    <xf numFmtId="167" fontId="0" fillId="0" borderId="0" xfId="0" applyNumberFormat="1"/>
    <xf numFmtId="0" fontId="4" fillId="3" borderId="1" xfId="1" applyFont="1" applyFill="1" applyBorder="1"/>
    <xf numFmtId="0" fontId="0" fillId="6" borderId="1" xfId="0" applyFill="1" applyBorder="1"/>
    <xf numFmtId="0" fontId="0" fillId="7" borderId="1" xfId="0" quotePrefix="1" applyFill="1" applyBorder="1"/>
    <xf numFmtId="0" fontId="0" fillId="7" borderId="1" xfId="0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165" fontId="4" fillId="8" borderId="1" xfId="1" applyNumberFormat="1" applyFont="1" applyFill="1" applyBorder="1"/>
    <xf numFmtId="0" fontId="3" fillId="3" borderId="1" xfId="1" applyFill="1" applyBorder="1" applyAlignment="1">
      <alignment horizontal="left"/>
    </xf>
    <xf numFmtId="1" fontId="1" fillId="0" borderId="1" xfId="0" applyNumberFormat="1" applyFont="1" applyBorder="1"/>
    <xf numFmtId="3" fontId="0" fillId="0" borderId="1" xfId="0" applyNumberFormat="1" applyBorder="1"/>
    <xf numFmtId="0" fontId="3" fillId="3" borderId="1" xfId="1" applyFill="1" applyBorder="1" applyAlignment="1">
      <alignment horizontal="center" wrapText="1"/>
    </xf>
    <xf numFmtId="0" fontId="3" fillId="3" borderId="1" xfId="1" applyFill="1" applyBorder="1" applyAlignment="1">
      <alignment horizontal="center"/>
    </xf>
    <xf numFmtId="3" fontId="4" fillId="8" borderId="1" xfId="1" applyNumberFormat="1" applyFont="1" applyFill="1" applyBorder="1"/>
    <xf numFmtId="3" fontId="3" fillId="9" borderId="1" xfId="1" applyNumberFormat="1" applyFill="1" applyBorder="1"/>
    <xf numFmtId="1" fontId="0" fillId="9" borderId="1" xfId="0" applyNumberFormat="1" applyFill="1" applyBorder="1"/>
    <xf numFmtId="3" fontId="0" fillId="9" borderId="1" xfId="0" applyNumberFormat="1" applyFill="1" applyBorder="1"/>
    <xf numFmtId="3" fontId="3" fillId="9" borderId="1" xfId="2" applyNumberFormat="1" applyFont="1" applyFill="1" applyBorder="1"/>
    <xf numFmtId="0" fontId="3" fillId="0" borderId="1" xfId="1" applyBorder="1"/>
    <xf numFmtId="165" fontId="4" fillId="0" borderId="1" xfId="1" applyNumberFormat="1" applyFont="1" applyBorder="1"/>
    <xf numFmtId="165" fontId="0" fillId="0" borderId="1" xfId="0" applyNumberFormat="1" applyBorder="1"/>
    <xf numFmtId="9" fontId="3" fillId="7" borderId="1" xfId="2" applyFont="1" applyFill="1" applyBorder="1"/>
    <xf numFmtId="3" fontId="3" fillId="7" borderId="1" xfId="2" applyNumberFormat="1" applyFont="1" applyFill="1" applyBorder="1"/>
    <xf numFmtId="9" fontId="0" fillId="7" borderId="1" xfId="0" applyNumberFormat="1" applyFill="1" applyBorder="1"/>
    <xf numFmtId="0" fontId="3" fillId="0" borderId="0" xfId="1" applyAlignment="1">
      <alignment horizontal="left" indent="1"/>
    </xf>
    <xf numFmtId="165" fontId="3" fillId="0" borderId="0" xfId="1" applyNumberFormat="1"/>
    <xf numFmtId="0" fontId="3" fillId="0" borderId="0" xfId="1" applyAlignment="1">
      <alignment horizontal="right"/>
    </xf>
    <xf numFmtId="3" fontId="3" fillId="0" borderId="0" xfId="2" applyNumberFormat="1" applyFont="1" applyFill="1" applyBorder="1"/>
    <xf numFmtId="3" fontId="4" fillId="0" borderId="0" xfId="1" applyNumberFormat="1" applyFont="1"/>
    <xf numFmtId="0" fontId="0" fillId="0" borderId="0" xfId="0" applyAlignment="1">
      <alignment vertical="top"/>
    </xf>
    <xf numFmtId="3" fontId="0" fillId="4" borderId="1" xfId="0" applyNumberFormat="1" applyFill="1" applyBorder="1"/>
    <xf numFmtId="0" fontId="0" fillId="3" borderId="1" xfId="0" applyFill="1" applyBorder="1"/>
    <xf numFmtId="0" fontId="0" fillId="10" borderId="1" xfId="0" applyFill="1" applyBorder="1"/>
    <xf numFmtId="2" fontId="0" fillId="10" borderId="1" xfId="0" applyNumberFormat="1" applyFill="1" applyBorder="1"/>
    <xf numFmtId="3" fontId="0" fillId="3" borderId="1" xfId="0" applyNumberFormat="1" applyFill="1" applyBorder="1"/>
    <xf numFmtId="0" fontId="1" fillId="5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168" fontId="1" fillId="8" borderId="10" xfId="3" applyNumberFormat="1" applyFont="1" applyFill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1" fontId="0" fillId="8" borderId="1" xfId="0" applyNumberFormat="1" applyFill="1" applyBorder="1"/>
    <xf numFmtId="2" fontId="0" fillId="0" borderId="1" xfId="0" applyNumberFormat="1" applyBorder="1"/>
    <xf numFmtId="0" fontId="1" fillId="0" borderId="9" xfId="0" applyFont="1" applyBorder="1" applyAlignment="1">
      <alignment horizontal="left" wrapText="1"/>
    </xf>
    <xf numFmtId="0" fontId="0" fillId="0" borderId="6" xfId="0" applyBorder="1" applyAlignment="1">
      <alignment vertical="top" wrapText="1"/>
    </xf>
    <xf numFmtId="0" fontId="1" fillId="0" borderId="2" xfId="0" applyFont="1" applyBorder="1"/>
    <xf numFmtId="0" fontId="1" fillId="0" borderId="4" xfId="0" applyFont="1" applyBorder="1"/>
    <xf numFmtId="0" fontId="1" fillId="0" borderId="3" xfId="0" applyFont="1" applyBorder="1"/>
    <xf numFmtId="0" fontId="4" fillId="3" borderId="1" xfId="1" applyFont="1" applyFill="1" applyBorder="1" applyAlignment="1">
      <alignment horizontal="center" vertical="top" wrapText="1"/>
    </xf>
    <xf numFmtId="0" fontId="4" fillId="3" borderId="1" xfId="1" applyFont="1" applyFill="1" applyBorder="1" applyAlignment="1">
      <alignment vertical="top" wrapText="1"/>
    </xf>
    <xf numFmtId="0" fontId="4" fillId="3" borderId="3" xfId="1" applyFont="1" applyFill="1" applyBorder="1"/>
    <xf numFmtId="0" fontId="3" fillId="3" borderId="12" xfId="1" applyFill="1" applyBorder="1" applyAlignment="1">
      <alignment horizontal="left" indent="1"/>
    </xf>
    <xf numFmtId="0" fontId="3" fillId="3" borderId="11" xfId="1" applyFill="1" applyBorder="1"/>
    <xf numFmtId="0" fontId="3" fillId="3" borderId="13" xfId="1" applyFill="1" applyBorder="1"/>
    <xf numFmtId="0" fontId="4" fillId="3" borderId="3" xfId="1" applyFont="1" applyFill="1" applyBorder="1" applyAlignment="1">
      <alignment horizontal="right"/>
    </xf>
    <xf numFmtId="0" fontId="12" fillId="0" borderId="17" xfId="0" applyFont="1" applyBorder="1"/>
    <xf numFmtId="0" fontId="12" fillId="0" borderId="18" xfId="0" applyFont="1" applyBorder="1"/>
    <xf numFmtId="0" fontId="12" fillId="0" borderId="19" xfId="0" applyFont="1" applyBorder="1"/>
    <xf numFmtId="0" fontId="12" fillId="0" borderId="20" xfId="0" applyFont="1" applyBorder="1"/>
    <xf numFmtId="0" fontId="13" fillId="0" borderId="21" xfId="0" applyFont="1" applyBorder="1"/>
    <xf numFmtId="0" fontId="13" fillId="0" borderId="14" xfId="0" applyFont="1" applyBorder="1"/>
    <xf numFmtId="0" fontId="13" fillId="0" borderId="15" xfId="0" applyFont="1" applyBorder="1"/>
    <xf numFmtId="0" fontId="13" fillId="0" borderId="16" xfId="0" applyFont="1" applyBorder="1"/>
    <xf numFmtId="0" fontId="12" fillId="0" borderId="22" xfId="0" applyFont="1" applyBorder="1" applyAlignment="1">
      <alignment horizontal="left"/>
    </xf>
    <xf numFmtId="168" fontId="12" fillId="0" borderId="23" xfId="0" applyNumberFormat="1" applyFont="1" applyBorder="1"/>
    <xf numFmtId="168" fontId="12" fillId="0" borderId="1" xfId="0" applyNumberFormat="1" applyFont="1" applyBorder="1"/>
    <xf numFmtId="168" fontId="12" fillId="0" borderId="22" xfId="0" applyNumberFormat="1" applyFont="1" applyBorder="1"/>
    <xf numFmtId="0" fontId="12" fillId="0" borderId="24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168" fontId="13" fillId="0" borderId="9" xfId="0" applyNumberFormat="1" applyFont="1" applyBorder="1"/>
    <xf numFmtId="168" fontId="13" fillId="0" borderId="25" xfId="0" applyNumberFormat="1" applyFont="1" applyBorder="1"/>
    <xf numFmtId="168" fontId="13" fillId="0" borderId="21" xfId="0" applyNumberFormat="1" applyFont="1" applyBorder="1"/>
    <xf numFmtId="0" fontId="0" fillId="0" borderId="0" xfId="0" quotePrefix="1"/>
    <xf numFmtId="0" fontId="14" fillId="0" borderId="0" xfId="0" applyFont="1"/>
    <xf numFmtId="0" fontId="13" fillId="0" borderId="0" xfId="0" applyFont="1" applyAlignment="1">
      <alignment horizontal="left"/>
    </xf>
    <xf numFmtId="168" fontId="13" fillId="0" borderId="0" xfId="0" applyNumberFormat="1" applyFont="1"/>
    <xf numFmtId="0" fontId="11" fillId="0" borderId="27" xfId="0" applyFont="1" applyBorder="1"/>
    <xf numFmtId="0" fontId="11" fillId="0" borderId="28" xfId="0" applyFont="1" applyBorder="1"/>
    <xf numFmtId="0" fontId="11" fillId="0" borderId="29" xfId="0" applyFont="1" applyBorder="1"/>
    <xf numFmtId="0" fontId="14" fillId="6" borderId="14" xfId="0" applyFont="1" applyFill="1" applyBorder="1"/>
    <xf numFmtId="0" fontId="0" fillId="6" borderId="15" xfId="0" applyFill="1" applyBorder="1"/>
    <xf numFmtId="0" fontId="0" fillId="6" borderId="16" xfId="0" applyFill="1" applyBorder="1"/>
    <xf numFmtId="168" fontId="0" fillId="0" borderId="3" xfId="3" applyNumberFormat="1" applyFont="1" applyBorder="1"/>
    <xf numFmtId="0" fontId="0" fillId="0" borderId="8" xfId="0" applyBorder="1"/>
    <xf numFmtId="0" fontId="0" fillId="6" borderId="30" xfId="0" applyFill="1" applyBorder="1"/>
    <xf numFmtId="0" fontId="0" fillId="6" borderId="0" xfId="0" applyFill="1"/>
    <xf numFmtId="0" fontId="0" fillId="6" borderId="31" xfId="0" applyFill="1" applyBorder="1"/>
    <xf numFmtId="0" fontId="0" fillId="6" borderId="14" xfId="0" applyFill="1" applyBorder="1"/>
    <xf numFmtId="168" fontId="1" fillId="6" borderId="15" xfId="3" applyNumberFormat="1" applyFont="1" applyFill="1" applyBorder="1"/>
    <xf numFmtId="0" fontId="0" fillId="0" borderId="7" xfId="0" applyBorder="1"/>
    <xf numFmtId="168" fontId="0" fillId="0" borderId="13" xfId="3" applyNumberFormat="1" applyFont="1" applyBorder="1"/>
    <xf numFmtId="168" fontId="1" fillId="11" borderId="7" xfId="3" applyNumberFormat="1" applyFont="1" applyFill="1" applyBorder="1"/>
    <xf numFmtId="0" fontId="15" fillId="0" borderId="32" xfId="0" applyFont="1" applyBorder="1" applyAlignment="1">
      <alignment horizontal="left"/>
    </xf>
    <xf numFmtId="0" fontId="15" fillId="0" borderId="22" xfId="0" applyFont="1" applyBorder="1" applyAlignment="1">
      <alignment horizontal="left"/>
    </xf>
    <xf numFmtId="0" fontId="0" fillId="0" borderId="22" xfId="0" applyBorder="1"/>
    <xf numFmtId="0" fontId="0" fillId="0" borderId="33" xfId="0" applyBorder="1"/>
    <xf numFmtId="0" fontId="0" fillId="0" borderId="24" xfId="0" applyBorder="1"/>
    <xf numFmtId="0" fontId="0" fillId="0" borderId="5" xfId="0" applyBorder="1"/>
    <xf numFmtId="0" fontId="0" fillId="6" borderId="32" xfId="0" applyFill="1" applyBorder="1"/>
    <xf numFmtId="168" fontId="0" fillId="0" borderId="22" xfId="3" applyNumberFormat="1" applyFont="1" applyBorder="1"/>
    <xf numFmtId="0" fontId="0" fillId="6" borderId="22" xfId="0" applyFill="1" applyBorder="1"/>
    <xf numFmtId="2" fontId="0" fillId="0" borderId="22" xfId="0" applyNumberFormat="1" applyBorder="1"/>
    <xf numFmtId="168" fontId="0" fillId="12" borderId="22" xfId="3" applyNumberFormat="1" applyFont="1" applyFill="1" applyBorder="1"/>
    <xf numFmtId="0" fontId="0" fillId="6" borderId="24" xfId="0" applyFill="1" applyBorder="1"/>
    <xf numFmtId="167" fontId="1" fillId="11" borderId="22" xfId="0" applyNumberFormat="1" applyFont="1" applyFill="1" applyBorder="1"/>
    <xf numFmtId="0" fontId="0" fillId="12" borderId="33" xfId="0" quotePrefix="1" applyFill="1" applyBorder="1"/>
    <xf numFmtId="0" fontId="1" fillId="5" borderId="3" xfId="0" applyFont="1" applyFill="1" applyBorder="1" applyAlignment="1">
      <alignment horizontal="center" vertical="center" wrapText="1"/>
    </xf>
    <xf numFmtId="0" fontId="0" fillId="3" borderId="3" xfId="0" applyFill="1" applyBorder="1"/>
    <xf numFmtId="0" fontId="0" fillId="3" borderId="5" xfId="0" applyFill="1" applyBorder="1"/>
    <xf numFmtId="0" fontId="1" fillId="3" borderId="12" xfId="0" applyFont="1" applyFill="1" applyBorder="1"/>
    <xf numFmtId="0" fontId="0" fillId="3" borderId="7" xfId="0" applyFill="1" applyBorder="1"/>
    <xf numFmtId="0" fontId="0" fillId="3" borderId="13" xfId="0" applyFill="1" applyBorder="1"/>
    <xf numFmtId="0" fontId="1" fillId="3" borderId="2" xfId="0" applyFont="1" applyFill="1" applyBorder="1"/>
    <xf numFmtId="0" fontId="1" fillId="3" borderId="5" xfId="0" applyFont="1" applyFill="1" applyBorder="1"/>
    <xf numFmtId="168" fontId="0" fillId="7" borderId="1" xfId="3" applyNumberFormat="1" applyFont="1" applyFill="1" applyBorder="1"/>
    <xf numFmtId="0" fontId="0" fillId="12" borderId="1" xfId="0" applyFill="1" applyBorder="1"/>
    <xf numFmtId="0" fontId="18" fillId="13" borderId="0" xfId="0" applyFont="1" applyFill="1"/>
    <xf numFmtId="0" fontId="0" fillId="13" borderId="0" xfId="0" applyFill="1"/>
    <xf numFmtId="4" fontId="0" fillId="0" borderId="0" xfId="0" applyNumberFormat="1"/>
    <xf numFmtId="0" fontId="16" fillId="0" borderId="0" xfId="0" applyFont="1"/>
    <xf numFmtId="0" fontId="19" fillId="7" borderId="31" xfId="0" applyFont="1" applyFill="1" applyBorder="1"/>
    <xf numFmtId="0" fontId="19" fillId="7" borderId="0" xfId="0" applyFont="1" applyFill="1"/>
    <xf numFmtId="0" fontId="19" fillId="7" borderId="0" xfId="0" applyFont="1" applyFill="1" applyAlignment="1">
      <alignment horizontal="center"/>
    </xf>
    <xf numFmtId="0" fontId="1" fillId="6" borderId="14" xfId="0" applyFont="1" applyFill="1" applyBorder="1" applyAlignment="1">
      <alignment horizontal="center" vertical="center" wrapText="1"/>
    </xf>
    <xf numFmtId="0" fontId="1" fillId="6" borderId="37" xfId="0" applyFont="1" applyFill="1" applyBorder="1" applyAlignment="1">
      <alignment horizontal="center" vertical="center" wrapText="1"/>
    </xf>
    <xf numFmtId="0" fontId="1" fillId="6" borderId="38" xfId="0" applyFont="1" applyFill="1" applyBorder="1" applyAlignment="1">
      <alignment horizontal="center" vertical="center" wrapText="1"/>
    </xf>
    <xf numFmtId="0" fontId="1" fillId="6" borderId="41" xfId="0" applyFont="1" applyFill="1" applyBorder="1" applyAlignment="1">
      <alignment horizontal="center" vertical="center" wrapText="1"/>
    </xf>
    <xf numFmtId="0" fontId="1" fillId="10" borderId="38" xfId="0" applyFont="1" applyFill="1" applyBorder="1" applyAlignment="1">
      <alignment horizontal="center" vertical="center" wrapText="1"/>
    </xf>
    <xf numFmtId="0" fontId="1" fillId="10" borderId="41" xfId="0" applyFont="1" applyFill="1" applyBorder="1" applyAlignment="1">
      <alignment horizontal="center" vertical="center" wrapText="1"/>
    </xf>
    <xf numFmtId="0" fontId="1" fillId="10" borderId="45" xfId="0" applyFont="1" applyFill="1" applyBorder="1" applyAlignment="1">
      <alignment horizontal="center" vertical="center" wrapText="1"/>
    </xf>
    <xf numFmtId="0" fontId="1" fillId="10" borderId="46" xfId="0" applyFont="1" applyFill="1" applyBorder="1" applyAlignment="1">
      <alignment horizontal="center" vertical="center" wrapText="1"/>
    </xf>
    <xf numFmtId="0" fontId="0" fillId="0" borderId="34" xfId="0" applyBorder="1"/>
    <xf numFmtId="0" fontId="0" fillId="0" borderId="47" xfId="0" applyBorder="1"/>
    <xf numFmtId="3" fontId="0" fillId="0" borderId="47" xfId="0" applyNumberFormat="1" applyBorder="1"/>
    <xf numFmtId="2" fontId="0" fillId="0" borderId="47" xfId="0" applyNumberFormat="1" applyBorder="1"/>
    <xf numFmtId="3" fontId="0" fillId="0" borderId="39" xfId="0" applyNumberFormat="1" applyBorder="1"/>
    <xf numFmtId="4" fontId="0" fillId="0" borderId="39" xfId="0" applyNumberFormat="1" applyBorder="1"/>
    <xf numFmtId="3" fontId="0" fillId="15" borderId="47" xfId="0" applyNumberFormat="1" applyFill="1" applyBorder="1"/>
    <xf numFmtId="3" fontId="0" fillId="16" borderId="48" xfId="0" applyNumberFormat="1" applyFill="1" applyBorder="1"/>
    <xf numFmtId="0" fontId="0" fillId="0" borderId="42" xfId="0" applyBorder="1"/>
    <xf numFmtId="0" fontId="0" fillId="0" borderId="12" xfId="0" applyBorder="1"/>
    <xf numFmtId="0" fontId="0" fillId="0" borderId="35" xfId="0" applyBorder="1"/>
    <xf numFmtId="0" fontId="0" fillId="0" borderId="2" xfId="0" applyBorder="1"/>
    <xf numFmtId="0" fontId="0" fillId="0" borderId="36" xfId="0" applyBorder="1"/>
    <xf numFmtId="0" fontId="0" fillId="0" borderId="50" xfId="0" applyBorder="1"/>
    <xf numFmtId="3" fontId="0" fillId="0" borderId="43" xfId="0" applyNumberFormat="1" applyBorder="1"/>
    <xf numFmtId="0" fontId="0" fillId="0" borderId="43" xfId="0" applyBorder="1"/>
    <xf numFmtId="3" fontId="0" fillId="0" borderId="40" xfId="0" applyNumberFormat="1" applyBorder="1"/>
    <xf numFmtId="4" fontId="0" fillId="0" borderId="25" xfId="0" applyNumberFormat="1" applyBorder="1"/>
    <xf numFmtId="3" fontId="0" fillId="15" borderId="43" xfId="0" applyNumberFormat="1" applyFill="1" applyBorder="1"/>
    <xf numFmtId="0" fontId="1" fillId="0" borderId="14" xfId="0" applyFont="1" applyBorder="1"/>
    <xf numFmtId="0" fontId="0" fillId="10" borderId="44" xfId="0" applyFill="1" applyBorder="1"/>
    <xf numFmtId="0" fontId="0" fillId="10" borderId="0" xfId="0" applyFill="1"/>
    <xf numFmtId="3" fontId="0" fillId="14" borderId="21" xfId="0" applyNumberFormat="1" applyFill="1" applyBorder="1"/>
    <xf numFmtId="3" fontId="0" fillId="0" borderId="52" xfId="0" applyNumberFormat="1" applyBorder="1"/>
    <xf numFmtId="0" fontId="0" fillId="10" borderId="53" xfId="0" applyFill="1" applyBorder="1"/>
    <xf numFmtId="0" fontId="0" fillId="10" borderId="33" xfId="0" applyFill="1" applyBorder="1"/>
    <xf numFmtId="0" fontId="0" fillId="10" borderId="54" xfId="0" applyFill="1" applyBorder="1"/>
    <xf numFmtId="0" fontId="0" fillId="10" borderId="31" xfId="0" applyFill="1" applyBorder="1"/>
    <xf numFmtId="0" fontId="0" fillId="10" borderId="55" xfId="0" applyFill="1" applyBorder="1"/>
    <xf numFmtId="0" fontId="0" fillId="10" borderId="52" xfId="0" applyFill="1" applyBorder="1"/>
    <xf numFmtId="0" fontId="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1" fontId="0" fillId="12" borderId="39" xfId="0" applyNumberFormat="1" applyFill="1" applyBorder="1" applyAlignment="1">
      <alignment horizontal="center"/>
    </xf>
    <xf numFmtId="1" fontId="0" fillId="12" borderId="26" xfId="0" applyNumberFormat="1" applyFill="1" applyBorder="1" applyAlignment="1">
      <alignment horizontal="center"/>
    </xf>
    <xf numFmtId="1" fontId="0" fillId="12" borderId="1" xfId="0" applyNumberFormat="1" applyFill="1" applyBorder="1" applyAlignment="1">
      <alignment horizontal="center"/>
    </xf>
    <xf numFmtId="1" fontId="0" fillId="12" borderId="40" xfId="0" applyNumberFormat="1" applyFill="1" applyBorder="1" applyAlignment="1">
      <alignment horizontal="center"/>
    </xf>
    <xf numFmtId="1" fontId="0" fillId="0" borderId="34" xfId="0" applyNumberFormat="1" applyBorder="1"/>
    <xf numFmtId="1" fontId="0" fillId="0" borderId="42" xfId="0" applyNumberFormat="1" applyBorder="1"/>
    <xf numFmtId="167" fontId="0" fillId="0" borderId="36" xfId="0" applyNumberFormat="1" applyBorder="1"/>
    <xf numFmtId="3" fontId="0" fillId="11" borderId="21" xfId="0" applyNumberFormat="1" applyFill="1" applyBorder="1"/>
    <xf numFmtId="167" fontId="0" fillId="0" borderId="48" xfId="0" applyNumberFormat="1" applyBorder="1"/>
    <xf numFmtId="167" fontId="0" fillId="0" borderId="45" xfId="0" applyNumberFormat="1" applyBorder="1"/>
    <xf numFmtId="167" fontId="0" fillId="11" borderId="21" xfId="0" applyNumberFormat="1" applyFill="1" applyBorder="1"/>
    <xf numFmtId="2" fontId="0" fillId="0" borderId="49" xfId="0" applyNumberFormat="1" applyBorder="1"/>
    <xf numFmtId="1" fontId="0" fillId="8" borderId="21" xfId="0" applyNumberFormat="1" applyFill="1" applyBorder="1"/>
    <xf numFmtId="0" fontId="1" fillId="3" borderId="14" xfId="0" applyFont="1" applyFill="1" applyBorder="1"/>
    <xf numFmtId="0" fontId="0" fillId="0" borderId="15" xfId="0" applyBorder="1"/>
    <xf numFmtId="9" fontId="0" fillId="0" borderId="16" xfId="0" applyNumberFormat="1" applyBorder="1"/>
    <xf numFmtId="3" fontId="0" fillId="7" borderId="3" xfId="0" applyNumberFormat="1" applyFill="1" applyBorder="1"/>
    <xf numFmtId="168" fontId="0" fillId="0" borderId="1" xfId="3" applyNumberFormat="1" applyFont="1" applyFill="1" applyBorder="1"/>
    <xf numFmtId="0" fontId="15" fillId="0" borderId="0" xfId="0" applyFont="1"/>
    <xf numFmtId="0" fontId="7" fillId="0" borderId="0" xfId="0" quotePrefix="1" applyFont="1"/>
    <xf numFmtId="0" fontId="0" fillId="3" borderId="0" xfId="0" applyFill="1"/>
    <xf numFmtId="0" fontId="15" fillId="3" borderId="0" xfId="0" applyFont="1" applyFill="1"/>
    <xf numFmtId="0" fontId="7" fillId="3" borderId="0" xfId="0" quotePrefix="1" applyFont="1" applyFill="1"/>
    <xf numFmtId="0" fontId="15" fillId="3" borderId="2" xfId="0" applyFont="1" applyFill="1" applyBorder="1"/>
    <xf numFmtId="0" fontId="15" fillId="3" borderId="4" xfId="0" applyFont="1" applyFill="1" applyBorder="1"/>
    <xf numFmtId="0" fontId="15" fillId="3" borderId="3" xfId="0" applyFont="1" applyFill="1" applyBorder="1"/>
    <xf numFmtId="0" fontId="15" fillId="3" borderId="2" xfId="0" applyFont="1" applyFill="1" applyBorder="1" applyAlignment="1">
      <alignment horizontal="left"/>
    </xf>
    <xf numFmtId="0" fontId="15" fillId="3" borderId="4" xfId="0" applyFont="1" applyFill="1" applyBorder="1" applyAlignment="1">
      <alignment horizontal="left"/>
    </xf>
    <xf numFmtId="0" fontId="15" fillId="3" borderId="3" xfId="0" applyFont="1" applyFill="1" applyBorder="1" applyAlignment="1">
      <alignment horizontal="left"/>
    </xf>
    <xf numFmtId="0" fontId="15" fillId="3" borderId="1" xfId="0" applyFont="1" applyFill="1" applyBorder="1"/>
    <xf numFmtId="3" fontId="15" fillId="3" borderId="1" xfId="0" applyNumberFormat="1" applyFont="1" applyFill="1" applyBorder="1"/>
    <xf numFmtId="1" fontId="15" fillId="3" borderId="1" xfId="0" applyNumberFormat="1" applyFont="1" applyFill="1" applyBorder="1"/>
    <xf numFmtId="9" fontId="0" fillId="3" borderId="1" xfId="6" applyFont="1" applyFill="1" applyBorder="1"/>
    <xf numFmtId="0" fontId="1" fillId="3" borderId="1" xfId="0" applyFont="1" applyFill="1" applyBorder="1"/>
    <xf numFmtId="167" fontId="15" fillId="17" borderId="1" xfId="0" applyNumberFormat="1" applyFont="1" applyFill="1" applyBorder="1"/>
    <xf numFmtId="167" fontId="15" fillId="3" borderId="1" xfId="0" applyNumberFormat="1" applyFont="1" applyFill="1" applyBorder="1"/>
    <xf numFmtId="0" fontId="22" fillId="3" borderId="1" xfId="0" applyFont="1" applyFill="1" applyBorder="1" applyAlignment="1">
      <alignment horizontal="center"/>
    </xf>
    <xf numFmtId="0" fontId="0" fillId="3" borderId="2" xfId="0" applyFill="1" applyBorder="1"/>
    <xf numFmtId="3" fontId="15" fillId="3" borderId="1" xfId="3" applyNumberFormat="1" applyFont="1" applyFill="1" applyBorder="1" applyAlignment="1"/>
    <xf numFmtId="3" fontId="0" fillId="3" borderId="1" xfId="3" applyNumberFormat="1" applyFont="1" applyFill="1" applyBorder="1"/>
    <xf numFmtId="1" fontId="0" fillId="3" borderId="1" xfId="0" applyNumberFormat="1" applyFill="1" applyBorder="1"/>
    <xf numFmtId="9" fontId="0" fillId="12" borderId="1" xfId="6" applyFont="1" applyFill="1" applyBorder="1"/>
    <xf numFmtId="3" fontId="0" fillId="0" borderId="32" xfId="0" applyNumberFormat="1" applyBorder="1"/>
    <xf numFmtId="3" fontId="0" fillId="0" borderId="21" xfId="0" applyNumberFormat="1" applyBorder="1"/>
    <xf numFmtId="1" fontId="0" fillId="0" borderId="35" xfId="0" applyNumberFormat="1" applyBorder="1"/>
    <xf numFmtId="0" fontId="11" fillId="3" borderId="0" xfId="0" applyFont="1" applyFill="1"/>
    <xf numFmtId="0" fontId="1" fillId="10" borderId="46" xfId="5" applyFont="1" applyFill="1" applyBorder="1" applyAlignment="1">
      <alignment horizontal="center" vertical="center" wrapText="1"/>
    </xf>
    <xf numFmtId="0" fontId="1" fillId="10" borderId="41" xfId="5" applyFont="1" applyFill="1" applyBorder="1" applyAlignment="1">
      <alignment horizontal="center" vertical="center" wrapText="1"/>
    </xf>
    <xf numFmtId="0" fontId="1" fillId="10" borderId="45" xfId="5" applyFont="1" applyFill="1" applyBorder="1" applyAlignment="1">
      <alignment horizontal="center" vertical="center" wrapText="1"/>
    </xf>
    <xf numFmtId="0" fontId="6" fillId="0" borderId="26" xfId="5" applyBorder="1"/>
    <xf numFmtId="3" fontId="0" fillId="0" borderId="26" xfId="0" applyNumberFormat="1" applyBorder="1"/>
    <xf numFmtId="0" fontId="1" fillId="10" borderId="30" xfId="5" applyFont="1" applyFill="1" applyBorder="1" applyAlignment="1">
      <alignment horizontal="center" vertical="center" wrapText="1"/>
    </xf>
    <xf numFmtId="0" fontId="1" fillId="10" borderId="58" xfId="5" applyFont="1" applyFill="1" applyBorder="1" applyAlignment="1">
      <alignment horizontal="center" vertical="center" wrapText="1"/>
    </xf>
    <xf numFmtId="0" fontId="6" fillId="0" borderId="23" xfId="5" applyBorder="1"/>
    <xf numFmtId="1" fontId="0" fillId="0" borderId="49" xfId="0" applyNumberFormat="1" applyBorder="1"/>
    <xf numFmtId="0" fontId="6" fillId="0" borderId="59" xfId="5" applyBorder="1"/>
    <xf numFmtId="0" fontId="0" fillId="12" borderId="40" xfId="0" applyFill="1" applyBorder="1"/>
    <xf numFmtId="0" fontId="0" fillId="0" borderId="40" xfId="0" applyBorder="1"/>
    <xf numFmtId="1" fontId="0" fillId="0" borderId="51" xfId="0" applyNumberFormat="1" applyBorder="1"/>
    <xf numFmtId="1" fontId="1" fillId="8" borderId="21" xfId="0" applyNumberFormat="1" applyFont="1" applyFill="1" applyBorder="1"/>
    <xf numFmtId="3" fontId="6" fillId="11" borderId="1" xfId="5" applyNumberFormat="1" applyFill="1" applyBorder="1" applyAlignment="1">
      <alignment horizontal="center"/>
    </xf>
    <xf numFmtId="3" fontId="6" fillId="11" borderId="40" xfId="5" applyNumberFormat="1" applyFill="1" applyBorder="1" applyAlignment="1">
      <alignment horizontal="center"/>
    </xf>
    <xf numFmtId="3" fontId="0" fillId="8" borderId="1" xfId="0" applyNumberFormat="1" applyFill="1" applyBorder="1"/>
    <xf numFmtId="3" fontId="0" fillId="8" borderId="40" xfId="0" applyNumberFormat="1" applyFill="1" applyBorder="1"/>
    <xf numFmtId="0" fontId="14" fillId="0" borderId="0" xfId="0" applyFont="1" applyAlignment="1">
      <alignment wrapText="1"/>
    </xf>
    <xf numFmtId="0" fontId="1" fillId="2" borderId="2" xfId="0" applyFont="1" applyFill="1" applyBorder="1"/>
    <xf numFmtId="0" fontId="1" fillId="2" borderId="3" xfId="0" applyFont="1" applyFill="1" applyBorder="1"/>
    <xf numFmtId="0" fontId="1" fillId="0" borderId="3" xfId="0" applyFont="1" applyBorder="1" applyAlignment="1">
      <alignment wrapText="1"/>
    </xf>
    <xf numFmtId="0" fontId="1" fillId="12" borderId="3" xfId="0" applyFont="1" applyFill="1" applyBorder="1"/>
    <xf numFmtId="0" fontId="1" fillId="0" borderId="2" xfId="0" applyFont="1" applyBorder="1" applyAlignment="1">
      <alignment horizontal="center" wrapText="1"/>
    </xf>
    <xf numFmtId="0" fontId="1" fillId="11" borderId="2" xfId="0" applyFont="1" applyFill="1" applyBorder="1"/>
    <xf numFmtId="0" fontId="0" fillId="8" borderId="1" xfId="0" applyFill="1" applyBorder="1"/>
    <xf numFmtId="3" fontId="4" fillId="8" borderId="3" xfId="1" applyNumberFormat="1" applyFont="1" applyFill="1" applyBorder="1"/>
    <xf numFmtId="3" fontId="15" fillId="8" borderId="56" xfId="0" applyNumberFormat="1" applyFont="1" applyFill="1" applyBorder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57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3" borderId="2" xfId="0" applyFont="1" applyFill="1" applyBorder="1" applyAlignment="1">
      <alignment horizontal="left"/>
    </xf>
    <xf numFmtId="0" fontId="15" fillId="3" borderId="4" xfId="0" applyFont="1" applyFill="1" applyBorder="1" applyAlignment="1">
      <alignment horizontal="left"/>
    </xf>
    <xf numFmtId="0" fontId="15" fillId="3" borderId="3" xfId="0" applyFont="1" applyFill="1" applyBorder="1" applyAlignment="1">
      <alignment horizontal="left"/>
    </xf>
    <xf numFmtId="0" fontId="22" fillId="0" borderId="1" xfId="0" applyFont="1" applyBorder="1" applyAlignment="1">
      <alignment horizontal="center"/>
    </xf>
    <xf numFmtId="0" fontId="15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6" fillId="10" borderId="14" xfId="4" applyFill="1" applyBorder="1" applyAlignment="1">
      <alignment horizontal="center"/>
    </xf>
    <xf numFmtId="0" fontId="6" fillId="10" borderId="15" xfId="4" applyFill="1" applyBorder="1" applyAlignment="1">
      <alignment horizontal="center"/>
    </xf>
    <xf numFmtId="0" fontId="6" fillId="10" borderId="16" xfId="4" applyFill="1" applyBorder="1" applyAlignment="1">
      <alignment horizontal="center"/>
    </xf>
  </cellXfs>
  <cellStyles count="7">
    <cellStyle name="Komma" xfId="3" builtinId="3"/>
    <cellStyle name="Normal" xfId="0" builtinId="0"/>
    <cellStyle name="Normal 11" xfId="5" xr:uid="{06621CB3-CC5E-4AC2-9DBA-0A1658E25D6B}"/>
    <cellStyle name="Normal 13" xfId="4" xr:uid="{B119B090-F1B4-48FF-8B4F-72D8D1A9964E}"/>
    <cellStyle name="Normal 2 2" xfId="1" xr:uid="{249FC369-155E-4020-BA3E-3C7F2FB827D5}"/>
    <cellStyle name="Procent" xfId="6" builtinId="5"/>
    <cellStyle name="Procent 2" xfId="2" xr:uid="{FF90A1B5-F59E-4085-A66C-81B3A3A82D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462642</xdr:colOff>
      <xdr:row>21</xdr:row>
      <xdr:rowOff>200025</xdr:rowOff>
    </xdr:from>
    <xdr:to>
      <xdr:col>9</xdr:col>
      <xdr:colOff>462642</xdr:colOff>
      <xdr:row>23</xdr:row>
      <xdr:rowOff>167368</xdr:rowOff>
    </xdr:to>
    <xdr:cxnSp macro="">
      <xdr:nvCxnSpPr>
        <xdr:cNvPr id="20" name="Lige pilforbindelse 19">
          <a:extLst>
            <a:ext uri="{FF2B5EF4-FFF2-40B4-BE49-F238E27FC236}">
              <a16:creationId xmlns:a16="http://schemas.microsoft.com/office/drawing/2014/main" id="{EFC977B3-AF8F-434D-B128-B1A0196DF402}"/>
            </a:ext>
          </a:extLst>
        </xdr:cNvPr>
        <xdr:cNvCxnSpPr/>
      </xdr:nvCxnSpPr>
      <xdr:spPr>
        <a:xfrm flipV="1">
          <a:off x="13332822" y="3499485"/>
          <a:ext cx="0" cy="34834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421823</xdr:colOff>
      <xdr:row>22</xdr:row>
      <xdr:rowOff>23133</xdr:rowOff>
    </xdr:from>
    <xdr:to>
      <xdr:col>10</xdr:col>
      <xdr:colOff>431347</xdr:colOff>
      <xdr:row>24</xdr:row>
      <xdr:rowOff>4083</xdr:rowOff>
    </xdr:to>
    <xdr:cxnSp macro="">
      <xdr:nvCxnSpPr>
        <xdr:cNvPr id="21" name="Lige pilforbindelse 20">
          <a:extLst>
            <a:ext uri="{FF2B5EF4-FFF2-40B4-BE49-F238E27FC236}">
              <a16:creationId xmlns:a16="http://schemas.microsoft.com/office/drawing/2014/main" id="{CDA7D49F-A28A-4568-ACF1-AF419057E761}"/>
            </a:ext>
          </a:extLst>
        </xdr:cNvPr>
        <xdr:cNvCxnSpPr/>
      </xdr:nvCxnSpPr>
      <xdr:spPr>
        <a:xfrm flipH="1" flipV="1">
          <a:off x="14244503" y="3520713"/>
          <a:ext cx="9524" cy="34671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572861</xdr:colOff>
      <xdr:row>22</xdr:row>
      <xdr:rowOff>23132</xdr:rowOff>
    </xdr:from>
    <xdr:to>
      <xdr:col>4</xdr:col>
      <xdr:colOff>572861</xdr:colOff>
      <xdr:row>24</xdr:row>
      <xdr:rowOff>4082</xdr:rowOff>
    </xdr:to>
    <xdr:cxnSp macro="">
      <xdr:nvCxnSpPr>
        <xdr:cNvPr id="22" name="Lige pilforbindelse 21">
          <a:extLst>
            <a:ext uri="{FF2B5EF4-FFF2-40B4-BE49-F238E27FC236}">
              <a16:creationId xmlns:a16="http://schemas.microsoft.com/office/drawing/2014/main" id="{AAF8B39F-CA11-490B-BFD2-9ECA562E4022}"/>
            </a:ext>
          </a:extLst>
        </xdr:cNvPr>
        <xdr:cNvCxnSpPr/>
      </xdr:nvCxnSpPr>
      <xdr:spPr>
        <a:xfrm flipV="1">
          <a:off x="7888061" y="3520712"/>
          <a:ext cx="0" cy="34671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571501</xdr:colOff>
      <xdr:row>22</xdr:row>
      <xdr:rowOff>27215</xdr:rowOff>
    </xdr:from>
    <xdr:to>
      <xdr:col>6</xdr:col>
      <xdr:colOff>571501</xdr:colOff>
      <xdr:row>24</xdr:row>
      <xdr:rowOff>8165</xdr:rowOff>
    </xdr:to>
    <xdr:cxnSp macro="">
      <xdr:nvCxnSpPr>
        <xdr:cNvPr id="23" name="Lige pilforbindelse 22">
          <a:extLst>
            <a:ext uri="{FF2B5EF4-FFF2-40B4-BE49-F238E27FC236}">
              <a16:creationId xmlns:a16="http://schemas.microsoft.com/office/drawing/2014/main" id="{4C0CD914-7E31-4C99-8A16-E9719031ED46}"/>
            </a:ext>
          </a:extLst>
        </xdr:cNvPr>
        <xdr:cNvCxnSpPr/>
      </xdr:nvCxnSpPr>
      <xdr:spPr>
        <a:xfrm flipV="1">
          <a:off x="10553701" y="3524795"/>
          <a:ext cx="0" cy="34671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408213</xdr:colOff>
      <xdr:row>22</xdr:row>
      <xdr:rowOff>28848</xdr:rowOff>
    </xdr:from>
    <xdr:to>
      <xdr:col>8</xdr:col>
      <xdr:colOff>408213</xdr:colOff>
      <xdr:row>24</xdr:row>
      <xdr:rowOff>2178</xdr:rowOff>
    </xdr:to>
    <xdr:cxnSp macro="">
      <xdr:nvCxnSpPr>
        <xdr:cNvPr id="24" name="Lige pilforbindelse 23">
          <a:extLst>
            <a:ext uri="{FF2B5EF4-FFF2-40B4-BE49-F238E27FC236}">
              <a16:creationId xmlns:a16="http://schemas.microsoft.com/office/drawing/2014/main" id="{5FF823CD-FB74-477F-BCD0-E116702E00C1}"/>
            </a:ext>
          </a:extLst>
        </xdr:cNvPr>
        <xdr:cNvCxnSpPr/>
      </xdr:nvCxnSpPr>
      <xdr:spPr>
        <a:xfrm flipV="1">
          <a:off x="12310653" y="3526428"/>
          <a:ext cx="0" cy="33909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870858</xdr:colOff>
      <xdr:row>22</xdr:row>
      <xdr:rowOff>27214</xdr:rowOff>
    </xdr:from>
    <xdr:to>
      <xdr:col>2</xdr:col>
      <xdr:colOff>870858</xdr:colOff>
      <xdr:row>24</xdr:row>
      <xdr:rowOff>8164</xdr:rowOff>
    </xdr:to>
    <xdr:cxnSp macro="">
      <xdr:nvCxnSpPr>
        <xdr:cNvPr id="25" name="Lige pilforbindelse 24">
          <a:extLst>
            <a:ext uri="{FF2B5EF4-FFF2-40B4-BE49-F238E27FC236}">
              <a16:creationId xmlns:a16="http://schemas.microsoft.com/office/drawing/2014/main" id="{E00689BC-FFC0-4F08-A1F6-315D084D8FE5}"/>
            </a:ext>
          </a:extLst>
        </xdr:cNvPr>
        <xdr:cNvCxnSpPr/>
      </xdr:nvCxnSpPr>
      <xdr:spPr>
        <a:xfrm flipV="1">
          <a:off x="4688478" y="3524794"/>
          <a:ext cx="0" cy="34671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462642</xdr:colOff>
      <xdr:row>21</xdr:row>
      <xdr:rowOff>200025</xdr:rowOff>
    </xdr:from>
    <xdr:to>
      <xdr:col>9</xdr:col>
      <xdr:colOff>462642</xdr:colOff>
      <xdr:row>23</xdr:row>
      <xdr:rowOff>167368</xdr:rowOff>
    </xdr:to>
    <xdr:cxnSp macro="">
      <xdr:nvCxnSpPr>
        <xdr:cNvPr id="26" name="Lige pilforbindelse 25">
          <a:extLst>
            <a:ext uri="{FF2B5EF4-FFF2-40B4-BE49-F238E27FC236}">
              <a16:creationId xmlns:a16="http://schemas.microsoft.com/office/drawing/2014/main" id="{46DF7E34-D617-41AC-A470-E267D913C563}"/>
            </a:ext>
          </a:extLst>
        </xdr:cNvPr>
        <xdr:cNvCxnSpPr/>
      </xdr:nvCxnSpPr>
      <xdr:spPr>
        <a:xfrm flipV="1">
          <a:off x="13332822" y="3499485"/>
          <a:ext cx="0" cy="34834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421823</xdr:colOff>
      <xdr:row>22</xdr:row>
      <xdr:rowOff>23133</xdr:rowOff>
    </xdr:from>
    <xdr:to>
      <xdr:col>10</xdr:col>
      <xdr:colOff>431347</xdr:colOff>
      <xdr:row>24</xdr:row>
      <xdr:rowOff>4083</xdr:rowOff>
    </xdr:to>
    <xdr:cxnSp macro="">
      <xdr:nvCxnSpPr>
        <xdr:cNvPr id="27" name="Lige pilforbindelse 26">
          <a:extLst>
            <a:ext uri="{FF2B5EF4-FFF2-40B4-BE49-F238E27FC236}">
              <a16:creationId xmlns:a16="http://schemas.microsoft.com/office/drawing/2014/main" id="{849DD12E-9276-414D-BF26-B3E2C0080351}"/>
            </a:ext>
          </a:extLst>
        </xdr:cNvPr>
        <xdr:cNvCxnSpPr/>
      </xdr:nvCxnSpPr>
      <xdr:spPr>
        <a:xfrm flipH="1" flipV="1">
          <a:off x="14244503" y="3520713"/>
          <a:ext cx="9524" cy="34671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572861</xdr:colOff>
      <xdr:row>22</xdr:row>
      <xdr:rowOff>23132</xdr:rowOff>
    </xdr:from>
    <xdr:to>
      <xdr:col>4</xdr:col>
      <xdr:colOff>572861</xdr:colOff>
      <xdr:row>24</xdr:row>
      <xdr:rowOff>4082</xdr:rowOff>
    </xdr:to>
    <xdr:cxnSp macro="">
      <xdr:nvCxnSpPr>
        <xdr:cNvPr id="28" name="Lige pilforbindelse 27">
          <a:extLst>
            <a:ext uri="{FF2B5EF4-FFF2-40B4-BE49-F238E27FC236}">
              <a16:creationId xmlns:a16="http://schemas.microsoft.com/office/drawing/2014/main" id="{F82C70D7-323B-46D2-ADCD-D6B0D1A3C784}"/>
            </a:ext>
          </a:extLst>
        </xdr:cNvPr>
        <xdr:cNvCxnSpPr/>
      </xdr:nvCxnSpPr>
      <xdr:spPr>
        <a:xfrm flipV="1">
          <a:off x="7888061" y="3520712"/>
          <a:ext cx="0" cy="34671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571501</xdr:colOff>
      <xdr:row>22</xdr:row>
      <xdr:rowOff>27215</xdr:rowOff>
    </xdr:from>
    <xdr:to>
      <xdr:col>6</xdr:col>
      <xdr:colOff>571501</xdr:colOff>
      <xdr:row>24</xdr:row>
      <xdr:rowOff>8165</xdr:rowOff>
    </xdr:to>
    <xdr:cxnSp macro="">
      <xdr:nvCxnSpPr>
        <xdr:cNvPr id="29" name="Lige pilforbindelse 28">
          <a:extLst>
            <a:ext uri="{FF2B5EF4-FFF2-40B4-BE49-F238E27FC236}">
              <a16:creationId xmlns:a16="http://schemas.microsoft.com/office/drawing/2014/main" id="{0DEACCC6-EE90-40EE-BE27-5CE00F7EA972}"/>
            </a:ext>
          </a:extLst>
        </xdr:cNvPr>
        <xdr:cNvCxnSpPr/>
      </xdr:nvCxnSpPr>
      <xdr:spPr>
        <a:xfrm flipV="1">
          <a:off x="10553701" y="3524795"/>
          <a:ext cx="0" cy="34671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408213</xdr:colOff>
      <xdr:row>22</xdr:row>
      <xdr:rowOff>28848</xdr:rowOff>
    </xdr:from>
    <xdr:to>
      <xdr:col>8</xdr:col>
      <xdr:colOff>408213</xdr:colOff>
      <xdr:row>24</xdr:row>
      <xdr:rowOff>2178</xdr:rowOff>
    </xdr:to>
    <xdr:cxnSp macro="">
      <xdr:nvCxnSpPr>
        <xdr:cNvPr id="30" name="Lige pilforbindelse 29">
          <a:extLst>
            <a:ext uri="{FF2B5EF4-FFF2-40B4-BE49-F238E27FC236}">
              <a16:creationId xmlns:a16="http://schemas.microsoft.com/office/drawing/2014/main" id="{2756BA98-BA79-4B09-9926-F38114C174DB}"/>
            </a:ext>
          </a:extLst>
        </xdr:cNvPr>
        <xdr:cNvCxnSpPr/>
      </xdr:nvCxnSpPr>
      <xdr:spPr>
        <a:xfrm flipV="1">
          <a:off x="12310653" y="3526428"/>
          <a:ext cx="0" cy="33909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870858</xdr:colOff>
      <xdr:row>22</xdr:row>
      <xdr:rowOff>27214</xdr:rowOff>
    </xdr:from>
    <xdr:to>
      <xdr:col>2</xdr:col>
      <xdr:colOff>870858</xdr:colOff>
      <xdr:row>24</xdr:row>
      <xdr:rowOff>8164</xdr:rowOff>
    </xdr:to>
    <xdr:cxnSp macro="">
      <xdr:nvCxnSpPr>
        <xdr:cNvPr id="31" name="Lige pilforbindelse 30">
          <a:extLst>
            <a:ext uri="{FF2B5EF4-FFF2-40B4-BE49-F238E27FC236}">
              <a16:creationId xmlns:a16="http://schemas.microsoft.com/office/drawing/2014/main" id="{0F297B3D-7A15-4D40-8C7B-BDA58AA4302A}"/>
            </a:ext>
          </a:extLst>
        </xdr:cNvPr>
        <xdr:cNvCxnSpPr/>
      </xdr:nvCxnSpPr>
      <xdr:spPr>
        <a:xfrm flipV="1">
          <a:off x="4688478" y="3524794"/>
          <a:ext cx="0" cy="34671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462642</xdr:colOff>
      <xdr:row>21</xdr:row>
      <xdr:rowOff>200025</xdr:rowOff>
    </xdr:from>
    <xdr:to>
      <xdr:col>9</xdr:col>
      <xdr:colOff>462642</xdr:colOff>
      <xdr:row>23</xdr:row>
      <xdr:rowOff>167368</xdr:rowOff>
    </xdr:to>
    <xdr:cxnSp macro="">
      <xdr:nvCxnSpPr>
        <xdr:cNvPr id="32" name="Lige pilforbindelse 31">
          <a:extLst>
            <a:ext uri="{FF2B5EF4-FFF2-40B4-BE49-F238E27FC236}">
              <a16:creationId xmlns:a16="http://schemas.microsoft.com/office/drawing/2014/main" id="{E13B7AC2-EACE-4002-BCE5-3B129957BFD8}"/>
            </a:ext>
          </a:extLst>
        </xdr:cNvPr>
        <xdr:cNvCxnSpPr/>
      </xdr:nvCxnSpPr>
      <xdr:spPr>
        <a:xfrm flipV="1">
          <a:off x="13332822" y="3499485"/>
          <a:ext cx="0" cy="34834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421823</xdr:colOff>
      <xdr:row>22</xdr:row>
      <xdr:rowOff>23133</xdr:rowOff>
    </xdr:from>
    <xdr:to>
      <xdr:col>10</xdr:col>
      <xdr:colOff>431347</xdr:colOff>
      <xdr:row>24</xdr:row>
      <xdr:rowOff>4083</xdr:rowOff>
    </xdr:to>
    <xdr:cxnSp macro="">
      <xdr:nvCxnSpPr>
        <xdr:cNvPr id="33" name="Lige pilforbindelse 32">
          <a:extLst>
            <a:ext uri="{FF2B5EF4-FFF2-40B4-BE49-F238E27FC236}">
              <a16:creationId xmlns:a16="http://schemas.microsoft.com/office/drawing/2014/main" id="{E638DAA6-A565-426A-ADFC-A438AF013162}"/>
            </a:ext>
          </a:extLst>
        </xdr:cNvPr>
        <xdr:cNvCxnSpPr/>
      </xdr:nvCxnSpPr>
      <xdr:spPr>
        <a:xfrm flipH="1" flipV="1">
          <a:off x="14244503" y="3520713"/>
          <a:ext cx="9524" cy="34671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572861</xdr:colOff>
      <xdr:row>22</xdr:row>
      <xdr:rowOff>23132</xdr:rowOff>
    </xdr:from>
    <xdr:to>
      <xdr:col>4</xdr:col>
      <xdr:colOff>572861</xdr:colOff>
      <xdr:row>24</xdr:row>
      <xdr:rowOff>4082</xdr:rowOff>
    </xdr:to>
    <xdr:cxnSp macro="">
      <xdr:nvCxnSpPr>
        <xdr:cNvPr id="34" name="Lige pilforbindelse 33">
          <a:extLst>
            <a:ext uri="{FF2B5EF4-FFF2-40B4-BE49-F238E27FC236}">
              <a16:creationId xmlns:a16="http://schemas.microsoft.com/office/drawing/2014/main" id="{B83A41EA-E28D-4815-81CD-2BB247554474}"/>
            </a:ext>
          </a:extLst>
        </xdr:cNvPr>
        <xdr:cNvCxnSpPr/>
      </xdr:nvCxnSpPr>
      <xdr:spPr>
        <a:xfrm flipV="1">
          <a:off x="7888061" y="3520712"/>
          <a:ext cx="0" cy="34671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571501</xdr:colOff>
      <xdr:row>22</xdr:row>
      <xdr:rowOff>27215</xdr:rowOff>
    </xdr:from>
    <xdr:to>
      <xdr:col>6</xdr:col>
      <xdr:colOff>571501</xdr:colOff>
      <xdr:row>24</xdr:row>
      <xdr:rowOff>8165</xdr:rowOff>
    </xdr:to>
    <xdr:cxnSp macro="">
      <xdr:nvCxnSpPr>
        <xdr:cNvPr id="35" name="Lige pilforbindelse 34">
          <a:extLst>
            <a:ext uri="{FF2B5EF4-FFF2-40B4-BE49-F238E27FC236}">
              <a16:creationId xmlns:a16="http://schemas.microsoft.com/office/drawing/2014/main" id="{88DD10E1-2FE2-4DAA-8C2F-61D399D7DAC5}"/>
            </a:ext>
          </a:extLst>
        </xdr:cNvPr>
        <xdr:cNvCxnSpPr/>
      </xdr:nvCxnSpPr>
      <xdr:spPr>
        <a:xfrm flipV="1">
          <a:off x="10553701" y="3524795"/>
          <a:ext cx="0" cy="34671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408213</xdr:colOff>
      <xdr:row>22</xdr:row>
      <xdr:rowOff>28848</xdr:rowOff>
    </xdr:from>
    <xdr:to>
      <xdr:col>8</xdr:col>
      <xdr:colOff>408213</xdr:colOff>
      <xdr:row>24</xdr:row>
      <xdr:rowOff>2178</xdr:rowOff>
    </xdr:to>
    <xdr:cxnSp macro="">
      <xdr:nvCxnSpPr>
        <xdr:cNvPr id="36" name="Lige pilforbindelse 35">
          <a:extLst>
            <a:ext uri="{FF2B5EF4-FFF2-40B4-BE49-F238E27FC236}">
              <a16:creationId xmlns:a16="http://schemas.microsoft.com/office/drawing/2014/main" id="{58F46E7F-A6E8-4D0E-A16E-5A915EE7F213}"/>
            </a:ext>
          </a:extLst>
        </xdr:cNvPr>
        <xdr:cNvCxnSpPr/>
      </xdr:nvCxnSpPr>
      <xdr:spPr>
        <a:xfrm flipV="1">
          <a:off x="12310653" y="3526428"/>
          <a:ext cx="0" cy="33909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870858</xdr:colOff>
      <xdr:row>22</xdr:row>
      <xdr:rowOff>27214</xdr:rowOff>
    </xdr:from>
    <xdr:to>
      <xdr:col>2</xdr:col>
      <xdr:colOff>870858</xdr:colOff>
      <xdr:row>24</xdr:row>
      <xdr:rowOff>8164</xdr:rowOff>
    </xdr:to>
    <xdr:cxnSp macro="">
      <xdr:nvCxnSpPr>
        <xdr:cNvPr id="37" name="Lige pilforbindelse 36">
          <a:extLst>
            <a:ext uri="{FF2B5EF4-FFF2-40B4-BE49-F238E27FC236}">
              <a16:creationId xmlns:a16="http://schemas.microsoft.com/office/drawing/2014/main" id="{8BFE155D-97E2-49E5-B14D-4D5193793C6E}"/>
            </a:ext>
          </a:extLst>
        </xdr:cNvPr>
        <xdr:cNvCxnSpPr/>
      </xdr:nvCxnSpPr>
      <xdr:spPr>
        <a:xfrm flipV="1">
          <a:off x="4688478" y="3524794"/>
          <a:ext cx="0" cy="34671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596C3-BE72-4B93-89B4-F788C5DBF9BB}">
  <dimension ref="A1:L170"/>
  <sheetViews>
    <sheetView tabSelected="1" workbookViewId="0">
      <selection activeCell="T21" sqref="T21"/>
    </sheetView>
  </sheetViews>
  <sheetFormatPr defaultRowHeight="14.45"/>
  <cols>
    <col min="1" max="1" width="12.28515625" customWidth="1"/>
    <col min="2" max="2" width="10.42578125" customWidth="1"/>
    <col min="4" max="4" width="9.140625" bestFit="1" customWidth="1"/>
    <col min="6" max="6" width="12.140625" bestFit="1" customWidth="1"/>
    <col min="7" max="7" width="12.28515625" customWidth="1"/>
    <col min="8" max="8" width="12.7109375" customWidth="1"/>
    <col min="9" max="9" width="13.42578125" customWidth="1"/>
    <col min="11" max="11" width="45.7109375" hidden="1" customWidth="1"/>
    <col min="12" max="12" width="0" hidden="1" customWidth="1"/>
  </cols>
  <sheetData>
    <row r="1" spans="1:12" ht="25.9">
      <c r="A1" s="4" t="s">
        <v>0</v>
      </c>
    </row>
    <row r="2" spans="1:12" ht="20.45">
      <c r="A2" s="110" t="s">
        <v>1</v>
      </c>
    </row>
    <row r="3" spans="1:12" ht="27">
      <c r="C3" s="38" t="s">
        <v>2</v>
      </c>
      <c r="D3" s="34"/>
      <c r="E3" s="34"/>
      <c r="F3" s="34"/>
      <c r="G3" s="50" t="s">
        <v>3</v>
      </c>
      <c r="H3" s="34"/>
      <c r="I3" s="49" t="s">
        <v>4</v>
      </c>
    </row>
    <row r="4" spans="1:12">
      <c r="C4" s="26" t="s">
        <v>5</v>
      </c>
      <c r="D4" s="11"/>
      <c r="E4" s="11"/>
      <c r="F4" s="32" t="s">
        <v>6</v>
      </c>
      <c r="G4" s="2"/>
      <c r="H4" s="34"/>
      <c r="I4" s="52">
        <f>+'CO2-potentiale'!J3</f>
        <v>0</v>
      </c>
    </row>
    <row r="5" spans="1:12">
      <c r="A5" s="1"/>
      <c r="C5" s="26" t="s">
        <v>7</v>
      </c>
      <c r="D5" s="11"/>
      <c r="E5" s="11"/>
      <c r="F5" s="32" t="s">
        <v>8</v>
      </c>
      <c r="G5" s="28"/>
      <c r="H5" s="34"/>
      <c r="I5" s="59"/>
    </row>
    <row r="6" spans="1:12">
      <c r="C6" s="26" t="s">
        <v>7</v>
      </c>
      <c r="D6" s="11"/>
      <c r="E6" s="11"/>
      <c r="F6" s="32" t="s">
        <v>6</v>
      </c>
      <c r="G6" s="52">
        <v>89700</v>
      </c>
      <c r="H6" s="34"/>
      <c r="I6" s="33">
        <f>+I4*I5</f>
        <v>0</v>
      </c>
    </row>
    <row r="7" spans="1:12">
      <c r="C7" s="26" t="s">
        <v>9</v>
      </c>
      <c r="D7" s="11"/>
      <c r="E7" s="11"/>
      <c r="F7" s="32" t="s">
        <v>6</v>
      </c>
      <c r="G7" s="52">
        <v>16560</v>
      </c>
      <c r="H7" s="34"/>
      <c r="I7" s="33">
        <f>ROUND(I6/$G$6*$G$7,0)</f>
        <v>0</v>
      </c>
    </row>
    <row r="8" spans="1:12">
      <c r="C8" s="26" t="s">
        <v>10</v>
      </c>
      <c r="D8" s="11"/>
      <c r="E8" s="11"/>
      <c r="F8" s="32" t="s">
        <v>11</v>
      </c>
      <c r="G8" s="52">
        <f>+G7*0.146</f>
        <v>2417.7599999999998</v>
      </c>
      <c r="H8" s="56"/>
      <c r="I8" s="33">
        <f>ROUND(I6/$G$6*$G$8,0)</f>
        <v>0</v>
      </c>
      <c r="K8" t="s">
        <v>12</v>
      </c>
      <c r="L8" t="s">
        <v>13</v>
      </c>
    </row>
    <row r="9" spans="1:12">
      <c r="C9" s="26" t="s">
        <v>14</v>
      </c>
      <c r="D9" s="11"/>
      <c r="E9" s="11"/>
      <c r="F9" s="32" t="s">
        <v>11</v>
      </c>
      <c r="G9" s="52">
        <v>3.9216000000000002</v>
      </c>
      <c r="H9" s="34"/>
      <c r="I9" s="45">
        <f>+G9/G7*I7</f>
        <v>0</v>
      </c>
      <c r="K9" t="s">
        <v>15</v>
      </c>
    </row>
    <row r="10" spans="1:12">
      <c r="C10" s="26" t="s">
        <v>16</v>
      </c>
      <c r="D10" s="11"/>
      <c r="E10" s="11"/>
      <c r="F10" s="32" t="s">
        <v>17</v>
      </c>
      <c r="G10" s="52">
        <v>100</v>
      </c>
      <c r="H10" s="34"/>
      <c r="I10" s="52">
        <f>+I6/G6*G10</f>
        <v>0</v>
      </c>
    </row>
    <row r="11" spans="1:12">
      <c r="C11" s="38" t="str">
        <f>"Output - "&amp;C3</f>
        <v>Output - PtX - Metanisering (på overskuds-CO2)</v>
      </c>
      <c r="D11" s="9"/>
      <c r="E11" s="9"/>
      <c r="F11" s="9"/>
      <c r="G11" s="35"/>
      <c r="H11" s="34"/>
      <c r="I11" s="33"/>
      <c r="K11" t="s">
        <v>18</v>
      </c>
      <c r="L11">
        <f>+G7/2*4</f>
        <v>33120</v>
      </c>
    </row>
    <row r="12" spans="1:12">
      <c r="C12" s="26" t="s">
        <v>19</v>
      </c>
      <c r="D12" s="11"/>
      <c r="E12" s="11"/>
      <c r="F12" s="11" t="s">
        <v>11</v>
      </c>
      <c r="G12" s="52">
        <f>0.05555*L11</f>
        <v>1839.816</v>
      </c>
      <c r="H12" s="34"/>
      <c r="I12" s="45">
        <f>+I7/G7*G12</f>
        <v>0</v>
      </c>
      <c r="K12" t="s">
        <v>12</v>
      </c>
      <c r="L12" t="s">
        <v>20</v>
      </c>
    </row>
    <row r="13" spans="1:12">
      <c r="C13" s="26" t="s">
        <v>21</v>
      </c>
      <c r="D13" s="11"/>
      <c r="E13" s="11"/>
      <c r="F13" s="11" t="s">
        <v>11</v>
      </c>
      <c r="G13" s="52">
        <f>+G8*0.226</f>
        <v>546.41375999999991</v>
      </c>
      <c r="H13" s="34"/>
      <c r="I13" s="45">
        <f>+I6/G6*G13</f>
        <v>0</v>
      </c>
      <c r="K13" t="s">
        <v>22</v>
      </c>
    </row>
    <row r="14" spans="1:12" ht="18">
      <c r="A14" s="110" t="s">
        <v>23</v>
      </c>
      <c r="G14" s="36"/>
      <c r="I14" s="36"/>
    </row>
    <row r="15" spans="1:12" ht="27">
      <c r="A15" s="1"/>
      <c r="C15" s="38" t="s">
        <v>24</v>
      </c>
      <c r="D15" s="34"/>
      <c r="E15" s="34"/>
      <c r="F15" s="34"/>
      <c r="G15" s="49" t="s">
        <v>3</v>
      </c>
      <c r="H15" s="49"/>
      <c r="I15" s="49" t="s">
        <v>4</v>
      </c>
    </row>
    <row r="16" spans="1:12">
      <c r="C16" s="26" t="s">
        <v>5</v>
      </c>
      <c r="D16" s="11"/>
      <c r="E16" s="11"/>
      <c r="F16" s="32" t="s">
        <v>6</v>
      </c>
      <c r="G16" s="2"/>
      <c r="H16" s="34"/>
      <c r="I16" s="33">
        <f>+'CO2-potentiale'!J3</f>
        <v>0</v>
      </c>
    </row>
    <row r="17" spans="1:12">
      <c r="C17" s="26" t="s">
        <v>7</v>
      </c>
      <c r="D17" s="11"/>
      <c r="E17" s="11"/>
      <c r="F17" s="32" t="s">
        <v>8</v>
      </c>
      <c r="G17" s="28"/>
      <c r="H17" s="34"/>
      <c r="I17" s="59"/>
    </row>
    <row r="18" spans="1:12">
      <c r="C18" s="26" t="s">
        <v>7</v>
      </c>
      <c r="D18" s="11"/>
      <c r="E18" s="11"/>
      <c r="F18" s="32" t="s">
        <v>6</v>
      </c>
      <c r="G18" s="52">
        <f>1.3333*91324</f>
        <v>121762.2892</v>
      </c>
      <c r="H18" s="34"/>
      <c r="I18" s="28">
        <f>I17*$I16</f>
        <v>0</v>
      </c>
    </row>
    <row r="19" spans="1:12">
      <c r="C19" s="26" t="s">
        <v>9</v>
      </c>
      <c r="D19" s="11"/>
      <c r="E19" s="11"/>
      <c r="F19" s="32" t="s">
        <v>6</v>
      </c>
      <c r="G19" s="52">
        <f>1.33333*12420</f>
        <v>16559.958599999998</v>
      </c>
      <c r="H19" s="34"/>
      <c r="I19" s="28">
        <f>ROUND(I$18/$G$18*$G$19,1)</f>
        <v>0</v>
      </c>
    </row>
    <row r="20" spans="1:12">
      <c r="C20" s="26" t="s">
        <v>25</v>
      </c>
      <c r="D20" s="11"/>
      <c r="E20" s="11"/>
      <c r="F20" s="32" t="s">
        <v>17</v>
      </c>
      <c r="G20" s="52">
        <v>100</v>
      </c>
      <c r="H20" s="34"/>
      <c r="I20" s="52">
        <f>ROUND(I$18/$G$18*$G$20,1)</f>
        <v>0</v>
      </c>
    </row>
    <row r="21" spans="1:12">
      <c r="C21" s="8" t="str">
        <f>"Output - "&amp;C15</f>
        <v>Output - PtX - Metanol (syntese, på overskuds-CO2)</v>
      </c>
      <c r="D21" s="9"/>
      <c r="E21" s="9"/>
      <c r="F21" s="9"/>
      <c r="G21" s="9"/>
      <c r="H21" s="9"/>
      <c r="I21" s="9"/>
    </row>
    <row r="22" spans="1:12">
      <c r="C22" s="26" t="s">
        <v>26</v>
      </c>
      <c r="D22" s="11"/>
      <c r="E22" s="11"/>
      <c r="F22" s="32" t="s">
        <v>11</v>
      </c>
      <c r="G22" s="52">
        <f>+G20*360*24*0.0036</f>
        <v>3110.4</v>
      </c>
      <c r="H22" s="34"/>
      <c r="I22" s="57">
        <f>ROUND(I$18/$G$18*$G$22,1)</f>
        <v>0</v>
      </c>
      <c r="K22" t="s">
        <v>27</v>
      </c>
    </row>
    <row r="23" spans="1:12">
      <c r="C23" s="26" t="s">
        <v>28</v>
      </c>
      <c r="D23" s="11"/>
      <c r="E23" s="11"/>
      <c r="F23" s="27"/>
      <c r="G23" s="52">
        <f>+G22-G33</f>
        <v>1125.27</v>
      </c>
      <c r="H23" s="34"/>
      <c r="I23" s="45">
        <f>+G23*I20/100</f>
        <v>0</v>
      </c>
    </row>
    <row r="24" spans="1:12">
      <c r="C24" s="26" t="s">
        <v>23</v>
      </c>
      <c r="D24" s="11"/>
      <c r="E24" s="11"/>
      <c r="F24" s="11" t="s">
        <v>11</v>
      </c>
      <c r="G24" s="52">
        <v>1827.0489600000001</v>
      </c>
      <c r="H24" s="34"/>
      <c r="I24" s="45">
        <f>ROUND(I$18/$G$18*$G$24,1)</f>
        <v>0</v>
      </c>
      <c r="K24" t="s">
        <v>27</v>
      </c>
    </row>
    <row r="25" spans="1:12">
      <c r="C25" s="26" t="s">
        <v>29</v>
      </c>
      <c r="D25" s="11"/>
      <c r="E25" s="11"/>
      <c r="F25" s="11" t="s">
        <v>11</v>
      </c>
      <c r="G25" s="52">
        <f>+G22*0.324</f>
        <v>1007.7696000000001</v>
      </c>
      <c r="H25" s="34"/>
      <c r="I25" s="45">
        <f>ROUND(I$18/$G$18*$G$25,1)</f>
        <v>0</v>
      </c>
      <c r="K25" t="s">
        <v>27</v>
      </c>
    </row>
    <row r="26" spans="1:12">
      <c r="B26" s="67"/>
      <c r="C26" s="26" t="s">
        <v>30</v>
      </c>
      <c r="D26" s="11"/>
      <c r="E26" s="11"/>
      <c r="F26" s="11" t="s">
        <v>11</v>
      </c>
      <c r="G26" s="52">
        <f>+G25-G34</f>
        <v>526.89960000000008</v>
      </c>
      <c r="H26" s="34"/>
      <c r="I26" s="57">
        <f>ROUND(I$18/$G$18*$G$26,1)</f>
        <v>0</v>
      </c>
    </row>
    <row r="27" spans="1:12" ht="18">
      <c r="A27" s="110" t="s">
        <v>31</v>
      </c>
      <c r="B27" s="67"/>
      <c r="L27" s="37"/>
    </row>
    <row r="28" spans="1:12" ht="27">
      <c r="A28" s="1"/>
      <c r="B28" s="67"/>
      <c r="C28" s="38" t="s">
        <v>32</v>
      </c>
      <c r="D28" s="34"/>
      <c r="E28" s="34"/>
      <c r="F28" s="34"/>
      <c r="G28" s="50" t="s">
        <v>3</v>
      </c>
      <c r="H28" s="34"/>
      <c r="I28" s="49" t="s">
        <v>4</v>
      </c>
    </row>
    <row r="29" spans="1:12">
      <c r="B29" s="67"/>
      <c r="C29" s="34" t="s">
        <v>25</v>
      </c>
      <c r="D29" s="34"/>
      <c r="E29" s="34"/>
      <c r="F29" s="46" t="s">
        <v>17</v>
      </c>
      <c r="G29" s="52">
        <v>100</v>
      </c>
      <c r="H29" s="34"/>
      <c r="I29" s="55">
        <f>+I20+I10</f>
        <v>0</v>
      </c>
    </row>
    <row r="30" spans="1:12">
      <c r="B30" s="67"/>
      <c r="C30" s="34" t="s">
        <v>33</v>
      </c>
      <c r="D30" s="34"/>
      <c r="E30" s="34"/>
      <c r="F30" s="46" t="s">
        <v>34</v>
      </c>
      <c r="G30" s="52">
        <v>6850</v>
      </c>
      <c r="H30" s="34"/>
      <c r="I30" s="28">
        <f>$G30</f>
        <v>6850</v>
      </c>
    </row>
    <row r="31" spans="1:12">
      <c r="B31" s="67"/>
      <c r="C31" s="34" t="s">
        <v>35</v>
      </c>
      <c r="D31" s="34"/>
      <c r="E31" s="34"/>
      <c r="F31" s="46" t="s">
        <v>36</v>
      </c>
      <c r="G31" s="52">
        <f>+G29*G30*0.0036</f>
        <v>2466</v>
      </c>
      <c r="H31" s="34"/>
      <c r="I31" s="28">
        <f>I$29/$G$29*$G31</f>
        <v>0</v>
      </c>
    </row>
    <row r="32" spans="1:12">
      <c r="B32" s="67"/>
      <c r="C32" s="9" t="s">
        <v>35</v>
      </c>
      <c r="F32" s="46" t="s">
        <v>37</v>
      </c>
      <c r="G32" s="52">
        <f>24.2/1000*G29*G30</f>
        <v>16577</v>
      </c>
      <c r="I32" s="36">
        <f>+I7+I19</f>
        <v>0</v>
      </c>
    </row>
    <row r="33" spans="1:9">
      <c r="B33" s="67"/>
      <c r="C33" s="34" t="s">
        <v>38</v>
      </c>
      <c r="D33" s="34"/>
      <c r="E33" s="34"/>
      <c r="F33" s="46" t="s">
        <v>11</v>
      </c>
      <c r="G33" s="52">
        <f>+G31*0.805</f>
        <v>1985.13</v>
      </c>
      <c r="H33" s="34"/>
      <c r="I33" s="51">
        <f>I$29/$G$29*$G33</f>
        <v>0</v>
      </c>
    </row>
    <row r="34" spans="1:9">
      <c r="B34" s="67"/>
      <c r="C34" s="34" t="s">
        <v>39</v>
      </c>
      <c r="D34" s="34"/>
      <c r="E34" s="34"/>
      <c r="F34" s="46" t="s">
        <v>11</v>
      </c>
      <c r="G34" s="52">
        <f>+G31*0.195</f>
        <v>480.87</v>
      </c>
      <c r="H34" s="34"/>
      <c r="I34" s="51">
        <f>I$29/$G$29*$G34</f>
        <v>0</v>
      </c>
    </row>
    <row r="35" spans="1:9">
      <c r="B35" s="67"/>
      <c r="C35" s="34" t="s">
        <v>40</v>
      </c>
      <c r="D35" s="2"/>
      <c r="E35" s="2"/>
      <c r="F35" s="46" t="s">
        <v>11</v>
      </c>
      <c r="G35" s="53">
        <f>+G34/19.5*14.7</f>
        <v>362.50200000000001</v>
      </c>
      <c r="H35" s="2"/>
      <c r="I35" s="47">
        <f>+G35/G29*I29</f>
        <v>0</v>
      </c>
    </row>
    <row r="36" spans="1:9">
      <c r="B36" s="67"/>
      <c r="C36" s="34" t="s">
        <v>41</v>
      </c>
      <c r="D36" s="2"/>
      <c r="E36" s="2"/>
      <c r="F36" s="2" t="s">
        <v>11</v>
      </c>
      <c r="G36" s="54">
        <f>+G34-G35</f>
        <v>118.36799999999999</v>
      </c>
      <c r="H36" s="2"/>
      <c r="I36" s="47">
        <f>+G35/19.5*4.8/G29*I29</f>
        <v>0</v>
      </c>
    </row>
    <row r="39" spans="1:9" ht="18">
      <c r="A39" s="110" t="s">
        <v>42</v>
      </c>
      <c r="C39" s="1"/>
      <c r="D39" s="1"/>
      <c r="E39" s="1"/>
      <c r="F39" s="1"/>
      <c r="G39" s="1"/>
      <c r="H39" s="1"/>
      <c r="I39" s="1"/>
    </row>
    <row r="40" spans="1:9">
      <c r="A40" s="1"/>
      <c r="C40" s="279" t="s">
        <v>43</v>
      </c>
      <c r="D40" s="280"/>
      <c r="E40" s="280"/>
      <c r="F40" s="280"/>
      <c r="G40" s="280"/>
      <c r="H40" s="280"/>
      <c r="I40" s="281"/>
    </row>
    <row r="41" spans="1:9" ht="45.6">
      <c r="C41" s="145"/>
      <c r="D41" s="147"/>
      <c r="E41" s="143" t="s">
        <v>44</v>
      </c>
      <c r="F41" s="73" t="s">
        <v>45</v>
      </c>
      <c r="G41" s="74" t="s">
        <v>46</v>
      </c>
      <c r="H41" s="74" t="s">
        <v>47</v>
      </c>
      <c r="I41" s="73" t="s">
        <v>48</v>
      </c>
    </row>
    <row r="42" spans="1:9">
      <c r="C42" s="150" t="s">
        <v>49</v>
      </c>
      <c r="D42" s="147"/>
      <c r="E42" s="221"/>
      <c r="F42" s="72">
        <f>E42*G42</f>
        <v>0</v>
      </c>
      <c r="G42" s="69">
        <v>14</v>
      </c>
      <c r="H42" s="69">
        <v>39.799999999999997</v>
      </c>
      <c r="I42" s="72">
        <f>F42*H42/1000000</f>
        <v>0</v>
      </c>
    </row>
    <row r="43" spans="1:9">
      <c r="C43" s="149" t="s">
        <v>50</v>
      </c>
      <c r="D43" s="144"/>
      <c r="E43" s="221"/>
      <c r="F43" s="72">
        <f>E43*G43</f>
        <v>0</v>
      </c>
      <c r="G43" s="69">
        <v>12</v>
      </c>
      <c r="H43" s="69">
        <v>39.799999999999997</v>
      </c>
      <c r="I43" s="72">
        <f>F43*H42/1000000</f>
        <v>0</v>
      </c>
    </row>
    <row r="44" spans="1:9">
      <c r="C44" s="146" t="s">
        <v>51</v>
      </c>
      <c r="D44" s="148"/>
      <c r="E44" s="144"/>
      <c r="F44" s="69"/>
      <c r="G44" s="69"/>
      <c r="H44" s="69"/>
      <c r="I44" s="48">
        <f>I42+I43</f>
        <v>0</v>
      </c>
    </row>
    <row r="45" spans="1:9" ht="15" thickBot="1">
      <c r="H45" t="s">
        <v>52</v>
      </c>
    </row>
    <row r="46" spans="1:9" ht="15" thickBot="1">
      <c r="C46" s="218" t="s">
        <v>53</v>
      </c>
      <c r="D46" s="219"/>
      <c r="E46" s="219"/>
      <c r="F46" s="219"/>
      <c r="G46" s="219"/>
      <c r="H46" s="220">
        <f>+I17+I5</f>
        <v>0</v>
      </c>
      <c r="I46" s="217">
        <f>+I44*H46</f>
        <v>0</v>
      </c>
    </row>
    <row r="53" spans="1:1">
      <c r="A53" s="1"/>
    </row>
    <row r="55" spans="1:1">
      <c r="A55" s="1"/>
    </row>
    <row r="66" spans="1:1">
      <c r="A66" s="1" t="s">
        <v>54</v>
      </c>
    </row>
    <row r="80" spans="1:1">
      <c r="A80" s="1"/>
    </row>
    <row r="82" spans="1:9">
      <c r="A82" s="1"/>
    </row>
    <row r="86" spans="1:9">
      <c r="C86" s="2"/>
      <c r="D86" s="5"/>
      <c r="E86" s="6"/>
      <c r="F86" s="7"/>
      <c r="G86" s="5"/>
      <c r="H86" s="6"/>
      <c r="I86" s="7"/>
    </row>
    <row r="87" spans="1:9">
      <c r="C87" s="2"/>
      <c r="D87" s="2"/>
      <c r="E87" s="2"/>
      <c r="F87" s="2"/>
      <c r="G87" s="2"/>
      <c r="H87" s="2"/>
      <c r="I87" s="2"/>
    </row>
    <row r="88" spans="1:9">
      <c r="C88" s="2"/>
      <c r="D88" s="2"/>
      <c r="E88" s="2"/>
      <c r="F88" s="2"/>
      <c r="G88" s="3"/>
      <c r="H88" s="3"/>
      <c r="I88" s="2"/>
    </row>
    <row r="89" spans="1:9">
      <c r="C89" s="2"/>
      <c r="D89" s="2"/>
      <c r="E89" s="2"/>
      <c r="F89" s="2"/>
      <c r="G89" s="2"/>
      <c r="H89" s="2"/>
      <c r="I89" s="2"/>
    </row>
    <row r="109" spans="1:1">
      <c r="A109" s="1" t="s">
        <v>55</v>
      </c>
    </row>
    <row r="111" spans="1:1">
      <c r="A111" s="1" t="s">
        <v>56</v>
      </c>
    </row>
    <row r="124" spans="1:1">
      <c r="A124" s="1" t="s">
        <v>57</v>
      </c>
    </row>
    <row r="129" spans="1:12" ht="15.6">
      <c r="F129" s="25"/>
      <c r="G129" s="9"/>
      <c r="H129" s="9"/>
      <c r="I129" s="9"/>
      <c r="J129" s="9"/>
      <c r="K129" s="9"/>
      <c r="L129" s="9"/>
    </row>
    <row r="130" spans="1:12">
      <c r="J130" s="9"/>
      <c r="K130" s="9"/>
      <c r="L130" s="9"/>
    </row>
    <row r="135" spans="1:12">
      <c r="A135" s="1" t="s">
        <v>58</v>
      </c>
      <c r="J135" s="9"/>
      <c r="K135" s="9"/>
      <c r="L135" s="9"/>
    </row>
    <row r="137" spans="1:12">
      <c r="A137" s="1" t="s">
        <v>56</v>
      </c>
    </row>
    <row r="144" spans="1:12">
      <c r="K144" s="9"/>
      <c r="L144" s="9"/>
    </row>
    <row r="146" spans="1:9">
      <c r="G146" s="35"/>
    </row>
    <row r="147" spans="1:9">
      <c r="C147" s="62"/>
      <c r="D147" s="35"/>
      <c r="E147" s="35"/>
      <c r="F147" s="35"/>
      <c r="G147" s="63"/>
      <c r="H147" s="64"/>
      <c r="I147" s="65"/>
    </row>
    <row r="148" spans="1:9">
      <c r="C148" s="62"/>
      <c r="D148" s="35"/>
      <c r="E148" s="35"/>
      <c r="F148" s="35"/>
      <c r="G148" s="63"/>
      <c r="H148" s="64"/>
      <c r="I148" s="65"/>
    </row>
    <row r="149" spans="1:9">
      <c r="C149" s="62"/>
      <c r="D149" s="35"/>
      <c r="E149" s="35"/>
      <c r="F149" s="35"/>
      <c r="G149" s="63"/>
      <c r="H149" s="64"/>
      <c r="I149" s="65"/>
    </row>
    <row r="150" spans="1:9">
      <c r="C150" s="62"/>
      <c r="D150" s="35"/>
      <c r="E150" s="35"/>
      <c r="F150" s="35"/>
      <c r="G150" s="63"/>
      <c r="H150" s="64"/>
      <c r="I150" s="65"/>
    </row>
    <row r="151" spans="1:9">
      <c r="A151" s="1" t="s">
        <v>59</v>
      </c>
      <c r="C151" s="35"/>
      <c r="D151" s="35"/>
      <c r="E151" s="35"/>
      <c r="F151" s="35"/>
      <c r="G151" s="35"/>
      <c r="H151" s="64"/>
      <c r="I151" s="66"/>
    </row>
    <row r="153" spans="1:9">
      <c r="A153" s="1" t="s">
        <v>56</v>
      </c>
    </row>
    <row r="161" spans="1:1">
      <c r="A161" s="1" t="s">
        <v>60</v>
      </c>
    </row>
    <row r="163" spans="1:1">
      <c r="A163" s="1" t="s">
        <v>56</v>
      </c>
    </row>
    <row r="170" spans="1:1">
      <c r="A170" s="1" t="s">
        <v>61</v>
      </c>
    </row>
  </sheetData>
  <mergeCells count="1">
    <mergeCell ref="C40:I40"/>
  </mergeCells>
  <phoneticPr fontId="7" type="noConversion"/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59FFC-9B26-492A-9AE9-FFAB12175F8F}">
  <dimension ref="B1:AC28"/>
  <sheetViews>
    <sheetView topLeftCell="E1" workbookViewId="0">
      <selection activeCell="I3" sqref="I3"/>
    </sheetView>
  </sheetViews>
  <sheetFormatPr defaultRowHeight="14.45"/>
  <cols>
    <col min="4" max="4" width="62" customWidth="1"/>
    <col min="5" max="5" width="10.140625" customWidth="1"/>
    <col min="6" max="7" width="14.42578125" customWidth="1"/>
    <col min="9" max="9" width="15.5703125" customWidth="1"/>
    <col min="10" max="10" width="14" bestFit="1" customWidth="1"/>
    <col min="28" max="28" width="9.7109375" customWidth="1"/>
  </cols>
  <sheetData>
    <row r="1" spans="2:29" ht="20.45">
      <c r="E1" s="110" t="s">
        <v>62</v>
      </c>
    </row>
    <row r="2" spans="2:29" ht="15" thickBot="1">
      <c r="B2" s="1" t="s">
        <v>63</v>
      </c>
      <c r="C2" s="1" t="s">
        <v>64</v>
      </c>
      <c r="D2" s="31"/>
    </row>
    <row r="3" spans="2:29" ht="30.6" thickBot="1">
      <c r="D3" s="31"/>
      <c r="I3" s="80" t="s">
        <v>65</v>
      </c>
      <c r="J3" s="75">
        <f>+P11+M16+P28</f>
        <v>0</v>
      </c>
    </row>
    <row r="4" spans="2:29" ht="18">
      <c r="B4" s="1" t="s">
        <v>56</v>
      </c>
      <c r="D4" s="31"/>
      <c r="E4" s="110" t="s">
        <v>66</v>
      </c>
    </row>
    <row r="5" spans="2:29" ht="28.9" customHeight="1">
      <c r="C5" t="s">
        <v>67</v>
      </c>
      <c r="D5" s="31" t="s">
        <v>68</v>
      </c>
      <c r="E5" s="31"/>
      <c r="F5" s="31"/>
      <c r="G5" s="31"/>
      <c r="I5" s="279" t="s">
        <v>69</v>
      </c>
      <c r="J5" s="280"/>
      <c r="K5" s="280"/>
      <c r="L5" s="280"/>
      <c r="M5" s="280"/>
      <c r="N5" s="280"/>
      <c r="O5" s="280"/>
      <c r="P5" s="281"/>
    </row>
    <row r="6" spans="2:29" ht="14.45" customHeight="1">
      <c r="C6" t="s">
        <v>70</v>
      </c>
      <c r="D6" t="s">
        <v>71</v>
      </c>
      <c r="E6" s="31"/>
      <c r="I6" s="76" t="s">
        <v>72</v>
      </c>
      <c r="J6" s="44" t="s">
        <v>44</v>
      </c>
      <c r="K6" s="44" t="s">
        <v>73</v>
      </c>
      <c r="L6" s="44" t="s">
        <v>74</v>
      </c>
      <c r="M6" s="44" t="s">
        <v>75</v>
      </c>
      <c r="N6" s="44" t="s">
        <v>76</v>
      </c>
      <c r="O6" s="44" t="s">
        <v>77</v>
      </c>
      <c r="P6" s="44" t="s">
        <v>78</v>
      </c>
    </row>
    <row r="7" spans="2:29" ht="44.45">
      <c r="C7" t="s">
        <v>63</v>
      </c>
      <c r="D7" s="31" t="s">
        <v>79</v>
      </c>
      <c r="E7" s="31"/>
      <c r="F7" s="31"/>
      <c r="G7" s="31"/>
      <c r="I7" s="76" t="s">
        <v>80</v>
      </c>
      <c r="J7" s="151"/>
      <c r="K7" s="70"/>
      <c r="L7" s="70"/>
      <c r="M7" s="70"/>
      <c r="N7" s="70"/>
      <c r="O7" s="70"/>
      <c r="P7" s="71"/>
    </row>
    <row r="8" spans="2:29" ht="43.15">
      <c r="C8" t="s">
        <v>57</v>
      </c>
      <c r="D8" s="31" t="s">
        <v>81</v>
      </c>
      <c r="E8" s="31"/>
      <c r="F8" s="31"/>
      <c r="G8" s="31"/>
      <c r="I8" s="76" t="s">
        <v>50</v>
      </c>
      <c r="J8" s="151"/>
      <c r="K8" s="70"/>
      <c r="L8" s="70"/>
      <c r="M8" s="70"/>
      <c r="N8" s="70"/>
      <c r="O8" s="70"/>
      <c r="P8" s="71"/>
    </row>
    <row r="9" spans="2:29" ht="57.6" customHeight="1">
      <c r="C9" t="s">
        <v>82</v>
      </c>
      <c r="D9" s="31" t="s">
        <v>83</v>
      </c>
      <c r="I9" s="76" t="s">
        <v>84</v>
      </c>
      <c r="J9" s="151"/>
      <c r="K9" s="70"/>
      <c r="L9" s="70"/>
      <c r="M9" s="70"/>
      <c r="N9" s="70"/>
      <c r="O9" s="70"/>
      <c r="P9" s="71"/>
    </row>
    <row r="10" spans="2:29" ht="30">
      <c r="C10" t="s">
        <v>85</v>
      </c>
      <c r="D10" s="31" t="s">
        <v>86</v>
      </c>
      <c r="E10" s="31"/>
      <c r="F10" s="31"/>
      <c r="G10" s="31"/>
      <c r="I10" s="76" t="s">
        <v>87</v>
      </c>
      <c r="J10" s="151"/>
      <c r="K10" s="70"/>
      <c r="L10" s="70"/>
      <c r="M10" s="70"/>
      <c r="N10" s="70"/>
      <c r="O10" s="70"/>
      <c r="P10" s="71"/>
    </row>
    <row r="11" spans="2:29">
      <c r="E11" s="31"/>
      <c r="I11" s="76" t="s">
        <v>88</v>
      </c>
      <c r="J11" s="222">
        <f>SUM(J7:J10)</f>
        <v>0</v>
      </c>
      <c r="K11" s="2">
        <v>0.14000000000000001</v>
      </c>
      <c r="L11" s="2">
        <f>+J11*K11</f>
        <v>0</v>
      </c>
      <c r="M11" s="2">
        <v>0.5</v>
      </c>
      <c r="N11" s="2">
        <f>+L11*M11</f>
        <v>0</v>
      </c>
      <c r="O11" s="2">
        <v>0.73</v>
      </c>
      <c r="P11" s="78">
        <f>+N11*O11</f>
        <v>0</v>
      </c>
    </row>
    <row r="12" spans="2:29">
      <c r="E12" s="31"/>
      <c r="F12" s="31"/>
      <c r="G12" s="31"/>
      <c r="W12" s="81"/>
      <c r="X12" s="81"/>
      <c r="Y12" s="81"/>
      <c r="Z12" s="81"/>
      <c r="AA12" s="81"/>
      <c r="AB12" s="81"/>
      <c r="AC12" s="81"/>
    </row>
    <row r="13" spans="2:29" ht="18">
      <c r="E13" s="269" t="s">
        <v>89</v>
      </c>
      <c r="F13" s="31"/>
      <c r="G13" s="31"/>
    </row>
    <row r="14" spans="2:29" ht="31.9" customHeight="1">
      <c r="K14" s="282" t="s">
        <v>90</v>
      </c>
      <c r="L14" s="282"/>
      <c r="M14" s="282"/>
      <c r="N14" s="283" t="s">
        <v>91</v>
      </c>
      <c r="O14" s="284"/>
      <c r="P14" s="284"/>
    </row>
    <row r="15" spans="2:29" ht="57.6" customHeight="1">
      <c r="K15" s="43" t="s">
        <v>92</v>
      </c>
      <c r="L15" s="43" t="s">
        <v>93</v>
      </c>
      <c r="M15" s="43" t="s">
        <v>78</v>
      </c>
      <c r="N15" s="283"/>
      <c r="O15" s="284"/>
      <c r="P15" s="284"/>
    </row>
    <row r="16" spans="2:29">
      <c r="K16" s="40"/>
      <c r="L16" s="2">
        <v>74</v>
      </c>
      <c r="M16" s="78">
        <f>+K16*L16</f>
        <v>0</v>
      </c>
      <c r="N16" s="283"/>
      <c r="O16" s="284"/>
      <c r="P16" s="284"/>
    </row>
    <row r="19" spans="5:16" ht="18">
      <c r="E19" s="110" t="s">
        <v>94</v>
      </c>
    </row>
    <row r="22" spans="5:16">
      <c r="I22" s="279" t="s">
        <v>95</v>
      </c>
      <c r="J22" s="280"/>
      <c r="K22" s="280"/>
      <c r="L22" s="280"/>
      <c r="M22" s="280"/>
      <c r="N22" s="280"/>
      <c r="O22" s="280"/>
      <c r="P22" s="281"/>
    </row>
    <row r="23" spans="5:16" ht="73.150000000000006">
      <c r="I23" s="43" t="s">
        <v>96</v>
      </c>
      <c r="J23" s="43" t="s">
        <v>97</v>
      </c>
      <c r="K23" s="43" t="s">
        <v>98</v>
      </c>
      <c r="L23" s="43" t="s">
        <v>99</v>
      </c>
      <c r="M23" s="42" t="s">
        <v>100</v>
      </c>
      <c r="N23" s="43" t="s">
        <v>101</v>
      </c>
      <c r="O23" s="43" t="s">
        <v>102</v>
      </c>
      <c r="P23" s="43" t="s">
        <v>78</v>
      </c>
    </row>
    <row r="24" spans="5:16">
      <c r="I24" s="40" t="s">
        <v>103</v>
      </c>
      <c r="J24" s="40" t="s">
        <v>104</v>
      </c>
      <c r="K24" s="40" t="s">
        <v>105</v>
      </c>
      <c r="L24" s="39"/>
      <c r="M24" s="39"/>
      <c r="N24" s="39"/>
      <c r="O24" s="39"/>
      <c r="P24" s="39"/>
    </row>
    <row r="25" spans="5:16">
      <c r="I25" s="40" t="s">
        <v>106</v>
      </c>
      <c r="J25" s="40" t="s">
        <v>107</v>
      </c>
      <c r="K25" s="40" t="s">
        <v>108</v>
      </c>
      <c r="L25" s="39"/>
      <c r="M25" s="39"/>
      <c r="N25" s="39"/>
      <c r="O25" s="39"/>
      <c r="P25" s="39"/>
    </row>
    <row r="26" spans="5:16">
      <c r="I26" s="40" t="s">
        <v>109</v>
      </c>
      <c r="J26" s="39"/>
      <c r="K26" s="39"/>
      <c r="L26" s="39"/>
      <c r="M26" s="39"/>
      <c r="N26" s="39"/>
      <c r="O26" s="39"/>
      <c r="P26" s="39"/>
    </row>
    <row r="27" spans="5:16">
      <c r="I27" s="40" t="s">
        <v>110</v>
      </c>
      <c r="J27" s="39"/>
      <c r="K27" s="39"/>
      <c r="L27" s="39"/>
      <c r="M27" s="39"/>
      <c r="N27" s="39"/>
      <c r="O27" s="39"/>
      <c r="P27" s="39"/>
    </row>
    <row r="28" spans="5:16">
      <c r="I28" s="2">
        <f>SUM(I24:I27)</f>
        <v>0</v>
      </c>
      <c r="J28" s="2">
        <f>SUM(J24:J27)</f>
        <v>0</v>
      </c>
      <c r="K28" s="2">
        <f>SUM(K24:K27)</f>
        <v>0</v>
      </c>
      <c r="L28" s="2">
        <f>SUM(I28:K28)</f>
        <v>0</v>
      </c>
      <c r="M28" s="2">
        <v>0.17499999999999999</v>
      </c>
      <c r="N28" s="2">
        <f>+L28/M28</f>
        <v>0</v>
      </c>
      <c r="O28" s="79">
        <f>44/(44+18)</f>
        <v>0.70967741935483875</v>
      </c>
      <c r="P28" s="78">
        <f>+N28*O28</f>
        <v>0</v>
      </c>
    </row>
  </sheetData>
  <mergeCells count="4">
    <mergeCell ref="I22:P22"/>
    <mergeCell ref="K14:M14"/>
    <mergeCell ref="I5:P5"/>
    <mergeCell ref="N14:P16"/>
  </mergeCells>
  <pageMargins left="0.7" right="0.7" top="0.75" bottom="0.75" header="0.3" footer="0.3"/>
  <pageSetup paperSize="9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134A0-B0BB-47AF-A932-14F893C71728}">
  <dimension ref="A1:M37"/>
  <sheetViews>
    <sheetView topLeftCell="A3" workbookViewId="0">
      <selection activeCell="B4" sqref="B4:I21"/>
    </sheetView>
  </sheetViews>
  <sheetFormatPr defaultRowHeight="14.45"/>
  <cols>
    <col min="7" max="7" width="10.28515625" bestFit="1" customWidth="1"/>
    <col min="8" max="8" width="14.7109375" customWidth="1"/>
    <col min="9" max="9" width="13.42578125" customWidth="1"/>
  </cols>
  <sheetData>
    <row r="1" spans="1:13" ht="18">
      <c r="A1" s="110" t="s">
        <v>111</v>
      </c>
    </row>
    <row r="3" spans="1:13"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</row>
    <row r="4" spans="1:13">
      <c r="B4" s="288" t="s">
        <v>112</v>
      </c>
      <c r="C4" s="288"/>
      <c r="D4" s="288"/>
      <c r="E4" s="288"/>
      <c r="F4" s="288"/>
      <c r="G4" s="288"/>
      <c r="H4" s="288"/>
      <c r="I4" s="226"/>
      <c r="J4" s="223"/>
      <c r="K4" s="223" t="s">
        <v>67</v>
      </c>
      <c r="L4" s="223" t="s">
        <v>113</v>
      </c>
      <c r="M4" s="223"/>
    </row>
    <row r="5" spans="1:13">
      <c r="B5" s="242"/>
      <c r="C5" s="226"/>
      <c r="D5" s="226"/>
      <c r="E5" s="225"/>
      <c r="F5" s="226"/>
      <c r="G5" s="226"/>
      <c r="H5" s="241" t="s">
        <v>36</v>
      </c>
      <c r="I5" s="226"/>
      <c r="J5" s="223"/>
      <c r="K5" s="223" t="s">
        <v>70</v>
      </c>
      <c r="L5" s="223" t="s">
        <v>114</v>
      </c>
      <c r="M5" s="223"/>
    </row>
    <row r="6" spans="1:13">
      <c r="B6" s="231" t="s">
        <v>115</v>
      </c>
      <c r="C6" s="232"/>
      <c r="D6" s="232"/>
      <c r="E6" s="232"/>
      <c r="F6" s="232"/>
      <c r="G6" s="233"/>
      <c r="H6" s="234">
        <f>+PtX!I13+PtX!I25</f>
        <v>0</v>
      </c>
      <c r="I6" s="226"/>
      <c r="J6" s="223"/>
      <c r="K6" s="223" t="s">
        <v>63</v>
      </c>
      <c r="L6" s="223" t="s">
        <v>116</v>
      </c>
      <c r="M6" s="223"/>
    </row>
    <row r="7" spans="1:13">
      <c r="B7" s="231" t="s">
        <v>117</v>
      </c>
      <c r="C7" s="232"/>
      <c r="D7" s="232"/>
      <c r="E7" s="232"/>
      <c r="F7" s="232"/>
      <c r="G7" s="233"/>
      <c r="H7" s="278">
        <f>+PtX!I34</f>
        <v>0</v>
      </c>
      <c r="I7" s="226"/>
      <c r="J7" s="223"/>
      <c r="K7" s="223" t="s">
        <v>57</v>
      </c>
      <c r="L7" s="223" t="s">
        <v>118</v>
      </c>
      <c r="M7" s="223"/>
    </row>
    <row r="8" spans="1:13">
      <c r="B8" s="228" t="s">
        <v>119</v>
      </c>
      <c r="C8" s="229"/>
      <c r="D8" s="229"/>
      <c r="E8" s="229"/>
      <c r="F8" s="229"/>
      <c r="G8" s="230"/>
      <c r="H8" s="235">
        <f>+H6-H7</f>
        <v>0</v>
      </c>
      <c r="I8" s="226"/>
      <c r="J8" s="223"/>
      <c r="K8" s="223" t="s">
        <v>54</v>
      </c>
      <c r="L8" s="223" t="s">
        <v>120</v>
      </c>
      <c r="M8" s="223"/>
    </row>
    <row r="9" spans="1:13">
      <c r="B9" s="228" t="s">
        <v>121</v>
      </c>
      <c r="C9" s="229"/>
      <c r="D9" s="229"/>
      <c r="E9" s="229"/>
      <c r="F9" s="229"/>
      <c r="G9" s="230"/>
      <c r="H9" s="236">
        <f>+H8/12*5</f>
        <v>0</v>
      </c>
      <c r="I9" s="226"/>
      <c r="J9" s="223"/>
      <c r="K9" s="223"/>
      <c r="L9" s="223"/>
      <c r="M9" s="223"/>
    </row>
    <row r="10" spans="1:13">
      <c r="B10" s="228" t="s">
        <v>122</v>
      </c>
      <c r="C10" s="229"/>
      <c r="D10" s="229"/>
      <c r="E10" s="229"/>
      <c r="F10" s="229"/>
      <c r="G10" s="230"/>
      <c r="H10" s="237">
        <v>0.27</v>
      </c>
      <c r="I10" s="290" t="s">
        <v>123</v>
      </c>
      <c r="J10" s="223"/>
      <c r="K10" s="223"/>
      <c r="L10" s="223"/>
      <c r="M10" s="223"/>
    </row>
    <row r="11" spans="1:13">
      <c r="B11" s="228" t="s">
        <v>124</v>
      </c>
      <c r="C11" s="229"/>
      <c r="D11" s="229"/>
      <c r="E11" s="229"/>
      <c r="F11" s="229"/>
      <c r="G11" s="230"/>
      <c r="H11" s="245">
        <f>+H9*(1-H10)</f>
        <v>0</v>
      </c>
      <c r="I11" s="290"/>
      <c r="J11" s="223"/>
      <c r="K11" s="223"/>
      <c r="L11" s="223"/>
      <c r="M11" s="223"/>
    </row>
    <row r="12" spans="1:13">
      <c r="B12" s="289" t="s">
        <v>125</v>
      </c>
      <c r="C12" s="289"/>
      <c r="D12" s="289"/>
      <c r="E12" s="289"/>
      <c r="F12" s="289"/>
      <c r="G12" s="289"/>
      <c r="H12" s="78">
        <f>(+H8/12*7+H11)*I12</f>
        <v>0</v>
      </c>
      <c r="I12" s="246">
        <v>1</v>
      </c>
      <c r="J12" s="223"/>
      <c r="K12" s="223"/>
      <c r="L12" s="223"/>
      <c r="M12" s="223"/>
    </row>
    <row r="13" spans="1:13">
      <c r="B13" s="227" t="s">
        <v>126</v>
      </c>
      <c r="C13" s="225"/>
      <c r="D13" s="225"/>
      <c r="E13" s="225"/>
      <c r="F13" s="225"/>
      <c r="G13" s="226"/>
      <c r="H13" s="225"/>
      <c r="I13" s="225"/>
      <c r="J13" s="223"/>
      <c r="K13" s="223"/>
      <c r="L13" s="223"/>
      <c r="M13" s="223"/>
    </row>
    <row r="14" spans="1:13">
      <c r="B14" s="285"/>
      <c r="C14" s="286"/>
      <c r="D14" s="286"/>
      <c r="E14" s="286"/>
      <c r="F14" s="287"/>
      <c r="G14" s="234" t="s">
        <v>127</v>
      </c>
      <c r="H14" s="238" t="s">
        <v>128</v>
      </c>
      <c r="I14" s="225"/>
      <c r="J14" s="223"/>
      <c r="K14" s="223"/>
      <c r="L14" s="223"/>
      <c r="M14" s="223"/>
    </row>
    <row r="15" spans="1:13" ht="16.149999999999999">
      <c r="A15" s="1"/>
      <c r="B15" s="285" t="s">
        <v>129</v>
      </c>
      <c r="C15" s="286"/>
      <c r="D15" s="286"/>
      <c r="E15" s="286"/>
      <c r="F15" s="287"/>
      <c r="G15" s="234">
        <v>33</v>
      </c>
      <c r="H15" s="234">
        <f>+G15</f>
        <v>33</v>
      </c>
      <c r="I15" s="226"/>
      <c r="J15" s="223"/>
      <c r="K15" s="223"/>
      <c r="L15" s="223"/>
      <c r="M15" s="223"/>
    </row>
    <row r="16" spans="1:13" ht="16.149999999999999">
      <c r="B16" s="285" t="s">
        <v>130</v>
      </c>
      <c r="C16" s="286"/>
      <c r="D16" s="286"/>
      <c r="E16" s="286"/>
      <c r="F16" s="287"/>
      <c r="G16" s="244">
        <v>19000</v>
      </c>
      <c r="H16" s="243">
        <f>+H9/G18*G16</f>
        <v>0</v>
      </c>
      <c r="I16" s="226"/>
      <c r="J16" s="223"/>
      <c r="K16" s="223"/>
      <c r="L16" s="223"/>
      <c r="M16" s="223"/>
    </row>
    <row r="17" spans="2:13">
      <c r="B17" s="285" t="s">
        <v>131</v>
      </c>
      <c r="C17" s="286"/>
      <c r="D17" s="286"/>
      <c r="E17" s="286"/>
      <c r="F17" s="287"/>
      <c r="G17" s="69">
        <f>+G15*G16/1000</f>
        <v>627</v>
      </c>
      <c r="H17" s="235">
        <f>+H15*H16/1000</f>
        <v>0</v>
      </c>
      <c r="I17" s="226"/>
      <c r="J17" s="223"/>
      <c r="K17" s="223"/>
      <c r="L17" s="223"/>
      <c r="M17" s="223"/>
    </row>
    <row r="18" spans="2:13">
      <c r="B18" s="285" t="s">
        <v>132</v>
      </c>
      <c r="C18" s="286"/>
      <c r="D18" s="286"/>
      <c r="E18" s="286"/>
      <c r="F18" s="287"/>
      <c r="G18" s="240">
        <f>+G17/278</f>
        <v>2.2553956834532376</v>
      </c>
      <c r="H18" s="236">
        <f>+H17/278</f>
        <v>0</v>
      </c>
      <c r="I18" s="226"/>
      <c r="J18" s="223"/>
      <c r="K18" s="223"/>
      <c r="L18" s="223"/>
      <c r="M18" s="223"/>
    </row>
    <row r="19" spans="2:13">
      <c r="B19" s="285"/>
      <c r="C19" s="286"/>
      <c r="D19" s="286"/>
      <c r="E19" s="286"/>
      <c r="F19" s="287"/>
      <c r="G19" s="234"/>
      <c r="H19" s="234"/>
      <c r="I19" s="226"/>
      <c r="J19" s="223"/>
      <c r="K19" s="223"/>
      <c r="L19" s="223"/>
      <c r="M19" s="223"/>
    </row>
    <row r="20" spans="2:13">
      <c r="B20" s="285" t="s">
        <v>133</v>
      </c>
      <c r="C20" s="286"/>
      <c r="D20" s="286"/>
      <c r="E20" s="286"/>
      <c r="F20" s="287"/>
      <c r="G20" s="234">
        <f>625/10000</f>
        <v>6.25E-2</v>
      </c>
      <c r="H20" s="239">
        <f>+G20/G18*H18</f>
        <v>0</v>
      </c>
      <c r="I20" s="226"/>
      <c r="J20" s="223"/>
      <c r="K20" s="223"/>
      <c r="L20" s="223"/>
      <c r="M20" s="223"/>
    </row>
    <row r="21" spans="2:13">
      <c r="B21" s="224" t="s">
        <v>134</v>
      </c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</row>
    <row r="22" spans="2:13">
      <c r="B22" s="223"/>
      <c r="C22" s="223"/>
      <c r="D22" s="223"/>
      <c r="E22" s="223"/>
      <c r="F22" s="223"/>
      <c r="G22" s="223"/>
      <c r="H22" s="223"/>
      <c r="I22" s="223"/>
      <c r="K22" s="223"/>
      <c r="L22" s="223"/>
      <c r="M22" s="223"/>
    </row>
    <row r="23" spans="2:13"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</row>
    <row r="24" spans="2:13"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</row>
    <row r="37" spans="1:2">
      <c r="A37" s="1"/>
      <c r="B37" s="1"/>
    </row>
  </sheetData>
  <mergeCells count="10">
    <mergeCell ref="I10:I11"/>
    <mergeCell ref="B14:F14"/>
    <mergeCell ref="B15:F15"/>
    <mergeCell ref="B16:F16"/>
    <mergeCell ref="B17:F17"/>
    <mergeCell ref="B18:F18"/>
    <mergeCell ref="B19:F19"/>
    <mergeCell ref="B20:F20"/>
    <mergeCell ref="B4:H4"/>
    <mergeCell ref="B12:G12"/>
  </mergeCells>
  <pageMargins left="0.7" right="0.7" top="0.75" bottom="0.75" header="0.3" footer="0.3"/>
  <pageSetup paperSize="9"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21B15-B857-4A08-AC10-1B1AE740B117}">
  <dimension ref="A1:I28"/>
  <sheetViews>
    <sheetView workbookViewId="0">
      <selection activeCell="B1" sqref="B1"/>
    </sheetView>
  </sheetViews>
  <sheetFormatPr defaultRowHeight="14.45"/>
  <cols>
    <col min="3" max="3" width="32.85546875" customWidth="1"/>
    <col min="8" max="8" width="11.7109375" customWidth="1"/>
    <col min="15" max="15" width="8.85546875" customWidth="1"/>
  </cols>
  <sheetData>
    <row r="1" spans="1:9" ht="18">
      <c r="A1" s="110" t="s">
        <v>135</v>
      </c>
      <c r="B1" s="1"/>
      <c r="C1" s="31"/>
    </row>
    <row r="4" spans="1:9">
      <c r="C4" s="82" t="s">
        <v>136</v>
      </c>
      <c r="D4" s="83"/>
      <c r="E4" s="83"/>
      <c r="F4" s="83"/>
      <c r="G4" s="83"/>
      <c r="H4" s="83"/>
      <c r="I4" s="84"/>
    </row>
    <row r="5" spans="1:9" ht="43.15">
      <c r="C5" s="2"/>
      <c r="D5" s="77" t="s">
        <v>36</v>
      </c>
      <c r="E5" s="77" t="s">
        <v>137</v>
      </c>
      <c r="F5" s="77" t="s">
        <v>138</v>
      </c>
      <c r="G5" s="77" t="s">
        <v>139</v>
      </c>
      <c r="H5" s="77" t="s">
        <v>140</v>
      </c>
      <c r="I5" s="77" t="s">
        <v>141</v>
      </c>
    </row>
    <row r="6" spans="1:9" ht="15" customHeight="1">
      <c r="C6" s="76" t="s">
        <v>142</v>
      </c>
      <c r="D6" s="48">
        <f>+PtX!I33</f>
        <v>0</v>
      </c>
      <c r="E6" s="61">
        <v>0</v>
      </c>
      <c r="F6" s="24">
        <f>D6*(1-E6)</f>
        <v>0</v>
      </c>
      <c r="G6" s="3"/>
      <c r="H6" s="3"/>
      <c r="I6" s="3"/>
    </row>
    <row r="7" spans="1:9" ht="24" customHeight="1">
      <c r="C7" s="76" t="s">
        <v>143</v>
      </c>
      <c r="D7" s="58">
        <f>+PtX!I23+PtX!I9</f>
        <v>0</v>
      </c>
      <c r="E7" s="61">
        <v>0</v>
      </c>
      <c r="F7" s="24">
        <f>D7*(1-E7)</f>
        <v>0</v>
      </c>
      <c r="G7" s="3"/>
      <c r="H7" s="3"/>
      <c r="I7" s="3"/>
    </row>
    <row r="8" spans="1:9">
      <c r="C8" s="76" t="s">
        <v>144</v>
      </c>
      <c r="D8" s="2">
        <f>SUM(D6:D7)</f>
        <v>0</v>
      </c>
      <c r="E8" s="3"/>
      <c r="F8" s="24">
        <f>SUM(F6:F7)</f>
        <v>0</v>
      </c>
      <c r="G8" s="68">
        <f>+'Sol og vind'!I28</f>
        <v>0</v>
      </c>
      <c r="H8" s="68">
        <f>+'Sol og vind'!I18</f>
        <v>0</v>
      </c>
      <c r="I8" s="276">
        <f>+F8-G8-H8</f>
        <v>0</v>
      </c>
    </row>
    <row r="10" spans="1:9" ht="18">
      <c r="A10" s="110" t="s">
        <v>145</v>
      </c>
      <c r="C10" s="31"/>
    </row>
    <row r="13" spans="1:9" ht="52.9">
      <c r="C13" s="19" t="s">
        <v>146</v>
      </c>
      <c r="D13" s="20"/>
      <c r="E13" s="20"/>
      <c r="F13" s="85" t="s">
        <v>147</v>
      </c>
      <c r="G13" s="86"/>
      <c r="H13" s="44" t="s">
        <v>148</v>
      </c>
      <c r="I13" s="85" t="s">
        <v>36</v>
      </c>
    </row>
    <row r="14" spans="1:9">
      <c r="C14" s="10" t="s">
        <v>149</v>
      </c>
      <c r="D14" s="11"/>
      <c r="E14" s="11"/>
      <c r="F14" s="22">
        <v>1.3769999999999999E-2</v>
      </c>
      <c r="G14" s="14" t="s">
        <v>150</v>
      </c>
      <c r="H14" s="41">
        <v>0</v>
      </c>
      <c r="I14" s="23">
        <f>+F14*H14</f>
        <v>0</v>
      </c>
    </row>
    <row r="15" spans="1:9">
      <c r="C15" s="10" t="s">
        <v>151</v>
      </c>
      <c r="D15" s="11"/>
      <c r="E15" s="11"/>
      <c r="F15" s="13">
        <v>7.6499999999999999E-2</v>
      </c>
      <c r="G15" s="14" t="s">
        <v>150</v>
      </c>
      <c r="H15" s="41">
        <v>0</v>
      </c>
      <c r="I15" s="23">
        <f>+F15*H15</f>
        <v>0</v>
      </c>
    </row>
    <row r="16" spans="1:9">
      <c r="C16" s="10" t="s">
        <v>152</v>
      </c>
      <c r="D16" s="11"/>
      <c r="E16" s="11"/>
      <c r="F16" s="13">
        <v>3.9627000000000003</v>
      </c>
      <c r="G16" s="14" t="s">
        <v>153</v>
      </c>
      <c r="H16" s="41">
        <v>0</v>
      </c>
      <c r="I16" s="23">
        <f>+F16*H16</f>
        <v>0</v>
      </c>
    </row>
    <row r="17" spans="3:9">
      <c r="C17" s="15" t="s">
        <v>154</v>
      </c>
      <c r="D17" s="16"/>
      <c r="E17" s="16"/>
      <c r="F17" s="17">
        <v>3.9627000000000003</v>
      </c>
      <c r="G17" s="18" t="s">
        <v>153</v>
      </c>
      <c r="H17" s="41">
        <v>0</v>
      </c>
      <c r="I17" s="23">
        <f>+F17*H17</f>
        <v>0</v>
      </c>
    </row>
    <row r="18" spans="3:9">
      <c r="C18" s="19" t="s">
        <v>155</v>
      </c>
      <c r="D18" s="20"/>
      <c r="E18" s="20"/>
      <c r="F18" s="21"/>
      <c r="G18" s="11"/>
      <c r="H18" s="2"/>
      <c r="I18" s="277">
        <f>SUM(I14:I17)</f>
        <v>0</v>
      </c>
    </row>
    <row r="20" spans="3:9">
      <c r="C20" s="31"/>
    </row>
    <row r="21" spans="3:9">
      <c r="C21" s="19" t="s">
        <v>156</v>
      </c>
      <c r="D21" s="11"/>
      <c r="E21" s="11"/>
      <c r="F21" s="12"/>
      <c r="G21" s="87" t="s">
        <v>157</v>
      </c>
      <c r="H21" s="34"/>
      <c r="I21" s="34"/>
    </row>
    <row r="22" spans="3:9">
      <c r="C22" s="88" t="s">
        <v>158</v>
      </c>
      <c r="D22" s="89"/>
      <c r="E22" s="89"/>
      <c r="F22" s="90"/>
      <c r="G22" s="13">
        <f>(2.3*3000*3.6/1000)</f>
        <v>24.839999999999996</v>
      </c>
      <c r="H22" s="29" t="s">
        <v>159</v>
      </c>
      <c r="I22" s="60"/>
    </row>
    <row r="23" spans="3:9">
      <c r="C23" s="10" t="s">
        <v>160</v>
      </c>
      <c r="D23" s="11"/>
      <c r="E23" s="11"/>
      <c r="F23" s="12"/>
      <c r="G23" s="13">
        <f>(3.5*3000*3.6/1000)</f>
        <v>37.799999999999997</v>
      </c>
      <c r="H23" s="29" t="s">
        <v>159</v>
      </c>
      <c r="I23" s="60"/>
    </row>
    <row r="24" spans="3:9">
      <c r="C24" s="10" t="s">
        <v>161</v>
      </c>
      <c r="D24" s="11"/>
      <c r="E24" s="11"/>
      <c r="F24" s="12"/>
      <c r="G24" s="13">
        <f>(3.5*3400*3.6/1000)</f>
        <v>42.84</v>
      </c>
      <c r="H24" s="29" t="s">
        <v>159</v>
      </c>
      <c r="I24" s="60"/>
    </row>
    <row r="25" spans="3:9">
      <c r="C25" s="10" t="s">
        <v>162</v>
      </c>
      <c r="D25" s="11"/>
      <c r="E25" s="11"/>
      <c r="F25" s="12"/>
      <c r="G25" s="13">
        <f>(4.2*3000*3.6/1000)</f>
        <v>45.36</v>
      </c>
      <c r="H25" s="29" t="s">
        <v>159</v>
      </c>
      <c r="I25" s="60"/>
    </row>
    <row r="26" spans="3:9">
      <c r="C26" s="10" t="s">
        <v>163</v>
      </c>
      <c r="D26" s="11"/>
      <c r="E26" s="11"/>
      <c r="F26" s="12"/>
      <c r="G26" s="13">
        <f>(4.2*3700*3.6/1000)</f>
        <v>55.944000000000003</v>
      </c>
      <c r="H26" s="29" t="s">
        <v>159</v>
      </c>
      <c r="I26" s="60"/>
    </row>
    <row r="27" spans="3:9">
      <c r="C27" s="30" t="s">
        <v>164</v>
      </c>
      <c r="D27" s="11"/>
      <c r="E27" s="11"/>
      <c r="F27" s="12"/>
      <c r="G27" s="28"/>
      <c r="H27" s="29" t="s">
        <v>159</v>
      </c>
      <c r="I27" s="28">
        <f>SUM(I22:I26)</f>
        <v>0</v>
      </c>
    </row>
    <row r="28" spans="3:9">
      <c r="C28" s="19" t="s">
        <v>165</v>
      </c>
      <c r="D28" s="20"/>
      <c r="E28" s="20"/>
      <c r="F28" s="20"/>
      <c r="G28" s="20"/>
      <c r="H28" s="91" t="s">
        <v>36</v>
      </c>
      <c r="I28" s="51">
        <f>SUMPRODUCT(G22:G26,I22:I26)</f>
        <v>0</v>
      </c>
    </row>
  </sheetData>
  <pageMargins left="0.7" right="0.7" top="0.75" bottom="0.75" header="0.3" footer="0.3"/>
  <pageSetup paperSize="9"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677DD-A140-4AA5-9B11-1794EE31C887}">
  <dimension ref="A1:M8"/>
  <sheetViews>
    <sheetView workbookViewId="0">
      <selection activeCell="C5" sqref="C5:M8"/>
    </sheetView>
  </sheetViews>
  <sheetFormatPr defaultRowHeight="14.45"/>
  <cols>
    <col min="3" max="3" width="32.5703125" customWidth="1"/>
    <col min="4" max="4" width="11.42578125" customWidth="1"/>
    <col min="5" max="5" width="10.5703125" customWidth="1"/>
    <col min="7" max="7" width="10.7109375" customWidth="1"/>
    <col min="9" max="9" width="10.7109375" customWidth="1"/>
  </cols>
  <sheetData>
    <row r="1" spans="1:13" ht="18">
      <c r="A1" s="110" t="s">
        <v>166</v>
      </c>
    </row>
    <row r="2" spans="1:13">
      <c r="A2" s="1"/>
      <c r="C2" s="31"/>
    </row>
    <row r="5" spans="1:13">
      <c r="C5" s="1"/>
      <c r="D5" s="291" t="s">
        <v>167</v>
      </c>
      <c r="E5" s="292"/>
      <c r="F5" s="292"/>
      <c r="G5" s="292"/>
      <c r="H5" s="293"/>
      <c r="I5" s="291" t="s">
        <v>168</v>
      </c>
      <c r="J5" s="292"/>
      <c r="K5" s="292"/>
      <c r="L5" s="292"/>
      <c r="M5" s="272"/>
    </row>
    <row r="6" spans="1:13" ht="100.9">
      <c r="C6" s="76"/>
      <c r="D6" s="274" t="s">
        <v>169</v>
      </c>
      <c r="E6" s="274" t="s">
        <v>170</v>
      </c>
      <c r="F6" s="274" t="s">
        <v>171</v>
      </c>
      <c r="G6" s="274" t="s">
        <v>172</v>
      </c>
      <c r="H6" s="43" t="s">
        <v>144</v>
      </c>
      <c r="I6" s="274" t="s">
        <v>169</v>
      </c>
      <c r="J6" s="274" t="s">
        <v>170</v>
      </c>
      <c r="K6" s="274" t="s">
        <v>171</v>
      </c>
      <c r="L6" s="274" t="s">
        <v>172</v>
      </c>
      <c r="M6" s="42" t="s">
        <v>144</v>
      </c>
    </row>
    <row r="7" spans="1:13">
      <c r="C7" s="76" t="s">
        <v>173</v>
      </c>
      <c r="D7" s="275" t="s">
        <v>174</v>
      </c>
      <c r="E7" s="273"/>
      <c r="F7" s="275" t="s">
        <v>175</v>
      </c>
      <c r="G7" s="273"/>
      <c r="H7" s="76">
        <f>+E7+G7</f>
        <v>0</v>
      </c>
      <c r="I7" s="270"/>
      <c r="J7" s="271"/>
      <c r="K7" s="270"/>
      <c r="L7" s="271"/>
      <c r="M7" s="271"/>
    </row>
    <row r="8" spans="1:13">
      <c r="C8" s="76" t="s">
        <v>176</v>
      </c>
      <c r="D8" s="275" t="s">
        <v>174</v>
      </c>
      <c r="E8" s="273"/>
      <c r="F8" s="275" t="s">
        <v>175</v>
      </c>
      <c r="G8" s="273"/>
      <c r="H8" s="76">
        <f>+E8+G8</f>
        <v>0</v>
      </c>
      <c r="I8" s="275" t="s">
        <v>177</v>
      </c>
      <c r="J8" s="273"/>
      <c r="K8" s="275" t="s">
        <v>178</v>
      </c>
      <c r="L8" s="273"/>
      <c r="M8" s="76">
        <f>+J8+L8</f>
        <v>0</v>
      </c>
    </row>
  </sheetData>
  <mergeCells count="2">
    <mergeCell ref="D5:H5"/>
    <mergeCell ref="I5:L5"/>
  </mergeCells>
  <pageMargins left="0.7" right="0.7" top="0.75" bottom="0.75" header="0.3" footer="0.3"/>
  <pageSetup paperSize="9" orientation="portrait" horizontalDpi="90" verticalDpi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94A32-AB38-4131-9468-8BC79107FD3E}">
  <dimension ref="A1:C3"/>
  <sheetViews>
    <sheetView workbookViewId="0">
      <selection activeCell="B4" sqref="B4"/>
    </sheetView>
  </sheetViews>
  <sheetFormatPr defaultRowHeight="14.45"/>
  <sheetData>
    <row r="1" spans="1:3" ht="18">
      <c r="A1" s="110" t="s">
        <v>179</v>
      </c>
    </row>
    <row r="2" spans="1:3">
      <c r="A2" s="1"/>
      <c r="B2" s="1"/>
      <c r="C2" s="31"/>
    </row>
    <row r="3" spans="1:3">
      <c r="B3" t="s">
        <v>180</v>
      </c>
      <c r="C3" s="3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0BAEB-A7E2-4475-AD6A-481CADF0B771}">
  <dimension ref="A1:T41"/>
  <sheetViews>
    <sheetView zoomScale="89" zoomScaleNormal="89" workbookViewId="0">
      <selection activeCell="A2" sqref="A2:XFD22"/>
    </sheetView>
  </sheetViews>
  <sheetFormatPr defaultRowHeight="14.45"/>
  <cols>
    <col min="1" max="1" width="10.28515625" customWidth="1"/>
    <col min="2" max="2" width="31.5703125" customWidth="1"/>
    <col min="3" max="3" width="10.42578125" bestFit="1" customWidth="1"/>
    <col min="4" max="4" width="9.140625" bestFit="1" customWidth="1"/>
    <col min="5" max="5" width="14.140625" bestFit="1" customWidth="1"/>
    <col min="6" max="8" width="10.42578125" bestFit="1" customWidth="1"/>
    <col min="9" max="9" width="9.140625" bestFit="1" customWidth="1"/>
    <col min="10" max="10" width="11.42578125" bestFit="1" customWidth="1"/>
    <col min="11" max="12" width="13.140625" bestFit="1" customWidth="1"/>
    <col min="13" max="13" width="12.42578125" bestFit="1" customWidth="1"/>
    <col min="14" max="14" width="10.42578125" bestFit="1" customWidth="1"/>
    <col min="15" max="15" width="14.140625" bestFit="1" customWidth="1"/>
    <col min="16" max="16" width="12.42578125" bestFit="1" customWidth="1"/>
    <col min="17" max="18" width="11.42578125" bestFit="1" customWidth="1"/>
    <col min="19" max="19" width="14.7109375" customWidth="1"/>
  </cols>
  <sheetData>
    <row r="1" spans="1:19" ht="18">
      <c r="A1" s="110" t="s">
        <v>181</v>
      </c>
    </row>
    <row r="4" spans="1:19" ht="18.600000000000001" thickBot="1">
      <c r="B4" s="110" t="s">
        <v>182</v>
      </c>
    </row>
    <row r="5" spans="1:19" ht="15" thickBot="1">
      <c r="B5" s="294" t="s">
        <v>183</v>
      </c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6"/>
    </row>
    <row r="6" spans="1:19" ht="15" thickBot="1">
      <c r="B6" s="92" t="s">
        <v>184</v>
      </c>
      <c r="C6" s="92" t="s">
        <v>185</v>
      </c>
      <c r="D6" s="93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1:19" ht="15" thickBot="1">
      <c r="B7" s="96" t="s">
        <v>186</v>
      </c>
      <c r="C7" s="97" t="s">
        <v>187</v>
      </c>
      <c r="D7" s="98" t="s">
        <v>188</v>
      </c>
      <c r="E7" s="98" t="s">
        <v>189</v>
      </c>
      <c r="F7" s="98" t="s">
        <v>190</v>
      </c>
      <c r="G7" s="98" t="s">
        <v>191</v>
      </c>
      <c r="H7" s="98" t="s">
        <v>192</v>
      </c>
      <c r="I7" s="98" t="s">
        <v>193</v>
      </c>
      <c r="J7" s="98" t="s">
        <v>194</v>
      </c>
      <c r="K7" s="98" t="s">
        <v>195</v>
      </c>
      <c r="L7" s="98" t="s">
        <v>196</v>
      </c>
      <c r="M7" s="98" t="s">
        <v>197</v>
      </c>
      <c r="N7" s="98" t="s">
        <v>198</v>
      </c>
      <c r="O7" s="98" t="s">
        <v>199</v>
      </c>
      <c r="P7" s="98" t="s">
        <v>200</v>
      </c>
      <c r="Q7" s="98" t="s">
        <v>201</v>
      </c>
      <c r="R7" s="99" t="s">
        <v>202</v>
      </c>
      <c r="S7" s="96" t="s">
        <v>203</v>
      </c>
    </row>
    <row r="8" spans="1:19">
      <c r="B8" s="100" t="s">
        <v>204</v>
      </c>
      <c r="C8" s="101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3"/>
    </row>
    <row r="9" spans="1:19">
      <c r="B9" s="100" t="s">
        <v>205</v>
      </c>
      <c r="C9" s="101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3"/>
    </row>
    <row r="10" spans="1:19">
      <c r="B10" s="100" t="s">
        <v>206</v>
      </c>
      <c r="C10" s="101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3"/>
    </row>
    <row r="11" spans="1:19">
      <c r="B11" s="100" t="s">
        <v>207</v>
      </c>
      <c r="C11" s="101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3"/>
    </row>
    <row r="12" spans="1:19">
      <c r="B12" s="100" t="s">
        <v>208</v>
      </c>
      <c r="C12" s="101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3"/>
    </row>
    <row r="13" spans="1:19">
      <c r="B13" s="100" t="s">
        <v>209</v>
      </c>
      <c r="C13" s="101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3"/>
    </row>
    <row r="14" spans="1:19" ht="15" thickBot="1">
      <c r="B14" s="104" t="s">
        <v>210</v>
      </c>
      <c r="C14" s="101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3"/>
    </row>
    <row r="15" spans="1:19" ht="15" thickBot="1">
      <c r="B15" s="105" t="s">
        <v>203</v>
      </c>
      <c r="C15" s="106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8"/>
    </row>
    <row r="16" spans="1:19">
      <c r="B16" s="111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</row>
    <row r="17" spans="2:20" ht="18.600000000000001" thickBot="1">
      <c r="B17" s="110" t="s">
        <v>211</v>
      </c>
    </row>
    <row r="18" spans="2:20" ht="18.600000000000001" thickBot="1">
      <c r="B18" s="116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8"/>
    </row>
    <row r="19" spans="2:20">
      <c r="B19" s="129" t="s">
        <v>212</v>
      </c>
      <c r="C19" s="113">
        <v>0.64</v>
      </c>
      <c r="D19" s="114">
        <v>0.24</v>
      </c>
      <c r="E19" s="114">
        <v>0.01</v>
      </c>
      <c r="F19" s="114">
        <v>0.03</v>
      </c>
      <c r="G19" s="114">
        <v>0.17</v>
      </c>
      <c r="H19" s="114">
        <v>0.44</v>
      </c>
      <c r="I19" s="114">
        <v>0.17</v>
      </c>
      <c r="J19" s="114">
        <v>0.504</v>
      </c>
      <c r="K19" s="114">
        <v>2.5000000000000001E-3</v>
      </c>
      <c r="L19" s="114">
        <v>0.03</v>
      </c>
      <c r="M19" s="114">
        <v>0.126</v>
      </c>
      <c r="N19" s="114">
        <v>0.24</v>
      </c>
      <c r="O19" s="114">
        <v>4.7000000000000002E-3</v>
      </c>
      <c r="P19" s="114">
        <v>0.26700000000000002</v>
      </c>
      <c r="Q19" s="114">
        <v>1.61</v>
      </c>
      <c r="R19" s="115">
        <v>0.24</v>
      </c>
      <c r="S19" s="135"/>
    </row>
    <row r="20" spans="2:20" ht="15" thickBot="1">
      <c r="B20" s="130" t="s">
        <v>213</v>
      </c>
      <c r="C20" s="126">
        <f>+C15*C19</f>
        <v>0</v>
      </c>
      <c r="D20" s="120">
        <f t="shared" ref="D20:R20" si="0">+D15*D19</f>
        <v>0</v>
      </c>
      <c r="E20" s="120">
        <f t="shared" si="0"/>
        <v>0</v>
      </c>
      <c r="F20" s="120">
        <f t="shared" si="0"/>
        <v>0</v>
      </c>
      <c r="G20" s="120">
        <f t="shared" si="0"/>
        <v>0</v>
      </c>
      <c r="H20" s="120">
        <f t="shared" si="0"/>
        <v>0</v>
      </c>
      <c r="I20" s="120">
        <f t="shared" si="0"/>
        <v>0</v>
      </c>
      <c r="J20" s="120">
        <f t="shared" si="0"/>
        <v>0</v>
      </c>
      <c r="K20" s="120">
        <f t="shared" si="0"/>
        <v>0</v>
      </c>
      <c r="L20" s="120">
        <f t="shared" si="0"/>
        <v>0</v>
      </c>
      <c r="M20" s="120">
        <f t="shared" si="0"/>
        <v>0</v>
      </c>
      <c r="N20" s="120">
        <f t="shared" si="0"/>
        <v>0</v>
      </c>
      <c r="O20" s="120">
        <f t="shared" si="0"/>
        <v>0</v>
      </c>
      <c r="P20" s="120">
        <f t="shared" si="0"/>
        <v>0</v>
      </c>
      <c r="Q20" s="120">
        <f t="shared" si="0"/>
        <v>0</v>
      </c>
      <c r="R20" s="134">
        <f t="shared" si="0"/>
        <v>0</v>
      </c>
      <c r="S20" s="136">
        <f>SUM(C20:R20)</f>
        <v>0</v>
      </c>
    </row>
    <row r="21" spans="2:20">
      <c r="B21" s="130" t="s">
        <v>214</v>
      </c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42" t="s">
        <v>215</v>
      </c>
      <c r="T21" s="109"/>
    </row>
    <row r="22" spans="2:20">
      <c r="B22" s="130" t="s">
        <v>216</v>
      </c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42" t="s">
        <v>217</v>
      </c>
      <c r="T22" s="109"/>
    </row>
    <row r="23" spans="2:20">
      <c r="B23" s="130" t="s">
        <v>218</v>
      </c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36" t="str">
        <f>IFERROR(+S21+S22,"-")</f>
        <v>-</v>
      </c>
    </row>
    <row r="24" spans="2:20">
      <c r="B24" s="131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37"/>
    </row>
    <row r="25" spans="2:20">
      <c r="B25" s="130" t="s">
        <v>219</v>
      </c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38" t="str">
        <f>IFERROR(+S20/S23,"-")</f>
        <v>-</v>
      </c>
    </row>
    <row r="26" spans="2:20">
      <c r="B26" s="131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37"/>
    </row>
    <row r="27" spans="2:20">
      <c r="B27" s="130" t="s">
        <v>220</v>
      </c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37"/>
    </row>
    <row r="28" spans="2:20">
      <c r="B28" s="132" t="s">
        <v>221</v>
      </c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39"/>
    </row>
    <row r="29" spans="2:20">
      <c r="B29" s="132" t="s">
        <v>222</v>
      </c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39"/>
    </row>
    <row r="30" spans="2:20">
      <c r="B30" s="132" t="s">
        <v>223</v>
      </c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39"/>
    </row>
    <row r="31" spans="2:20">
      <c r="B31" s="132" t="s">
        <v>224</v>
      </c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39"/>
    </row>
    <row r="32" spans="2:20">
      <c r="B32" s="131" t="s">
        <v>225</v>
      </c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39"/>
    </row>
    <row r="33" spans="2:19">
      <c r="B33" s="131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37"/>
    </row>
    <row r="34" spans="2:19">
      <c r="B34" s="131" t="s">
        <v>226</v>
      </c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36" t="str">
        <f>IFERROR(+S25*S32,"-")</f>
        <v>-</v>
      </c>
    </row>
    <row r="35" spans="2:19" ht="15" thickBot="1">
      <c r="B35" s="131" t="s">
        <v>227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41" t="str">
        <f>IFERROR(+S34/S21*100,"-")</f>
        <v>-</v>
      </c>
    </row>
    <row r="36" spans="2:19">
      <c r="B36" s="131" t="s">
        <v>228</v>
      </c>
      <c r="C36" s="127" t="str">
        <f>IFERROR(+C20/$S20*$S34,"-")</f>
        <v>-</v>
      </c>
      <c r="D36" s="127" t="str">
        <f t="shared" ref="D36:R36" si="1">IFERROR(+D20/$S20*$S34,"-")</f>
        <v>-</v>
      </c>
      <c r="E36" s="127" t="str">
        <f t="shared" si="1"/>
        <v>-</v>
      </c>
      <c r="F36" s="127" t="str">
        <f t="shared" si="1"/>
        <v>-</v>
      </c>
      <c r="G36" s="127" t="str">
        <f t="shared" si="1"/>
        <v>-</v>
      </c>
      <c r="H36" s="127" t="str">
        <f t="shared" si="1"/>
        <v>-</v>
      </c>
      <c r="I36" s="127" t="str">
        <f t="shared" si="1"/>
        <v>-</v>
      </c>
      <c r="J36" s="127" t="str">
        <f t="shared" si="1"/>
        <v>-</v>
      </c>
      <c r="K36" s="127" t="str">
        <f t="shared" si="1"/>
        <v>-</v>
      </c>
      <c r="L36" s="127" t="str">
        <f t="shared" si="1"/>
        <v>-</v>
      </c>
      <c r="M36" s="127" t="str">
        <f t="shared" si="1"/>
        <v>-</v>
      </c>
      <c r="N36" s="127" t="str">
        <f t="shared" si="1"/>
        <v>-</v>
      </c>
      <c r="O36" s="127" t="str">
        <f t="shared" si="1"/>
        <v>-</v>
      </c>
      <c r="P36" s="127" t="str">
        <f t="shared" si="1"/>
        <v>-</v>
      </c>
      <c r="Q36" s="127" t="str">
        <f t="shared" si="1"/>
        <v>-</v>
      </c>
      <c r="R36" s="127" t="str">
        <f t="shared" si="1"/>
        <v>-</v>
      </c>
      <c r="S36" s="136" t="str">
        <f>IFERROR(+S20/$S20*$S34,"-")</f>
        <v>-</v>
      </c>
    </row>
    <row r="37" spans="2:19">
      <c r="B37" s="131" t="s">
        <v>229</v>
      </c>
      <c r="C37" s="119" t="str">
        <f>IFERROR(+C20-C36,"-")</f>
        <v>-</v>
      </c>
      <c r="D37" s="119" t="str">
        <f t="shared" ref="D37:R37" si="2">IFERROR(+D20-D36,"-")</f>
        <v>-</v>
      </c>
      <c r="E37" s="119" t="str">
        <f t="shared" si="2"/>
        <v>-</v>
      </c>
      <c r="F37" s="119" t="str">
        <f t="shared" si="2"/>
        <v>-</v>
      </c>
      <c r="G37" s="119" t="str">
        <f t="shared" si="2"/>
        <v>-</v>
      </c>
      <c r="H37" s="119" t="str">
        <f t="shared" si="2"/>
        <v>-</v>
      </c>
      <c r="I37" s="119" t="str">
        <f t="shared" si="2"/>
        <v>-</v>
      </c>
      <c r="J37" s="119" t="str">
        <f t="shared" si="2"/>
        <v>-</v>
      </c>
      <c r="K37" s="119" t="str">
        <f t="shared" si="2"/>
        <v>-</v>
      </c>
      <c r="L37" s="119" t="str">
        <f t="shared" si="2"/>
        <v>-</v>
      </c>
      <c r="M37" s="119" t="str">
        <f t="shared" si="2"/>
        <v>-</v>
      </c>
      <c r="N37" s="119" t="str">
        <f t="shared" si="2"/>
        <v>-</v>
      </c>
      <c r="O37" s="119" t="str">
        <f t="shared" si="2"/>
        <v>-</v>
      </c>
      <c r="P37" s="119" t="str">
        <f t="shared" si="2"/>
        <v>-</v>
      </c>
      <c r="Q37" s="119" t="str">
        <f t="shared" si="2"/>
        <v>-</v>
      </c>
      <c r="R37" s="119" t="str">
        <f t="shared" si="2"/>
        <v>-</v>
      </c>
      <c r="S37" s="136" t="str">
        <f>IFERROR(+S20-S36,"-")</f>
        <v>-</v>
      </c>
    </row>
    <row r="38" spans="2:19" ht="15" thickBot="1">
      <c r="B38" s="133" t="s">
        <v>230</v>
      </c>
      <c r="C38" s="128" t="str">
        <f>IFERROR(IF(C37/C19&gt;=0,C37/C19,0),"-")</f>
        <v>-</v>
      </c>
      <c r="D38" s="128" t="str">
        <f t="shared" ref="D38:R38" si="3">IFERROR(IF(D37/D19&gt;=0,D37/D19,0),"-")</f>
        <v>-</v>
      </c>
      <c r="E38" s="128" t="str">
        <f t="shared" si="3"/>
        <v>-</v>
      </c>
      <c r="F38" s="128" t="str">
        <f t="shared" si="3"/>
        <v>-</v>
      </c>
      <c r="G38" s="128" t="str">
        <f t="shared" si="3"/>
        <v>-</v>
      </c>
      <c r="H38" s="128" t="str">
        <f t="shared" si="3"/>
        <v>-</v>
      </c>
      <c r="I38" s="128" t="str">
        <f t="shared" si="3"/>
        <v>-</v>
      </c>
      <c r="J38" s="128" t="str">
        <f t="shared" si="3"/>
        <v>-</v>
      </c>
      <c r="K38" s="128" t="str">
        <f t="shared" si="3"/>
        <v>-</v>
      </c>
      <c r="L38" s="128" t="str">
        <f t="shared" si="3"/>
        <v>-</v>
      </c>
      <c r="M38" s="128" t="str">
        <f t="shared" si="3"/>
        <v>-</v>
      </c>
      <c r="N38" s="128" t="str">
        <f t="shared" si="3"/>
        <v>-</v>
      </c>
      <c r="O38" s="128" t="str">
        <f t="shared" si="3"/>
        <v>-</v>
      </c>
      <c r="P38" s="128" t="str">
        <f t="shared" si="3"/>
        <v>-</v>
      </c>
      <c r="Q38" s="128" t="str">
        <f t="shared" si="3"/>
        <v>-</v>
      </c>
      <c r="R38" s="128" t="str">
        <f t="shared" si="3"/>
        <v>-</v>
      </c>
      <c r="S38" s="140"/>
    </row>
    <row r="39" spans="2:19" ht="15" thickBot="1">
      <c r="B39" s="124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18"/>
    </row>
    <row r="40" spans="2:19">
      <c r="B40" s="250" t="s">
        <v>231</v>
      </c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</row>
    <row r="41" spans="2:19">
      <c r="B41" s="250" t="s">
        <v>232</v>
      </c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</row>
  </sheetData>
  <mergeCells count="1">
    <mergeCell ref="B5:S5"/>
  </mergeCells>
  <pageMargins left="0.7" right="0.7" top="0.75" bottom="0.75" header="0.3" footer="0.3"/>
  <pageSetup paperSize="9" orientation="portrait" horizontalDpi="90" verticalDpi="9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3BC68-FD13-4657-A7C2-093571EA6408}">
  <dimension ref="A1:H22"/>
  <sheetViews>
    <sheetView workbookViewId="0">
      <selection activeCell="C3" sqref="C3:H22"/>
    </sheetView>
  </sheetViews>
  <sheetFormatPr defaultRowHeight="14.45"/>
  <cols>
    <col min="3" max="3" width="48.28515625" customWidth="1"/>
    <col min="5" max="5" width="17.28515625" customWidth="1"/>
    <col min="8" max="8" width="11" bestFit="1" customWidth="1"/>
  </cols>
  <sheetData>
    <row r="1" spans="1:8">
      <c r="A1" s="1" t="s">
        <v>233</v>
      </c>
    </row>
    <row r="3" spans="1:8" ht="18.600000000000001" thickBot="1">
      <c r="C3" s="110" t="s">
        <v>182</v>
      </c>
    </row>
    <row r="4" spans="1:8" ht="57.6">
      <c r="C4" s="251" t="s">
        <v>234</v>
      </c>
      <c r="D4" s="252" t="s">
        <v>235</v>
      </c>
      <c r="E4" s="252" t="s">
        <v>236</v>
      </c>
      <c r="F4" s="253" t="s">
        <v>237</v>
      </c>
      <c r="G4" s="256" t="s">
        <v>238</v>
      </c>
      <c r="H4" s="257" t="s">
        <v>239</v>
      </c>
    </row>
    <row r="5" spans="1:8">
      <c r="C5" s="258" t="s">
        <v>240</v>
      </c>
      <c r="D5" s="265">
        <v>26777.7</v>
      </c>
      <c r="E5" s="152"/>
      <c r="F5" s="267">
        <f>IFERROR(+D5+E5,0)</f>
        <v>26777.7</v>
      </c>
      <c r="G5" s="2">
        <v>200</v>
      </c>
      <c r="H5" s="259">
        <f>+E5*G5/1000</f>
        <v>0</v>
      </c>
    </row>
    <row r="6" spans="1:8">
      <c r="C6" s="258" t="s">
        <v>241</v>
      </c>
      <c r="D6" s="265">
        <v>1886.28</v>
      </c>
      <c r="E6" s="152"/>
      <c r="F6" s="267">
        <f t="shared" ref="F6:F21" si="0">IFERROR(+D6+E6,0)</f>
        <v>1886.28</v>
      </c>
      <c r="G6" s="2">
        <v>170</v>
      </c>
      <c r="H6" s="259">
        <f t="shared" ref="H6:H21" si="1">+E6*G6/1000</f>
        <v>0</v>
      </c>
    </row>
    <row r="7" spans="1:8">
      <c r="C7" s="258" t="s">
        <v>242</v>
      </c>
      <c r="D7" s="265">
        <v>4728.1100000000006</v>
      </c>
      <c r="E7" s="152"/>
      <c r="F7" s="267">
        <f t="shared" si="0"/>
        <v>4728.1100000000006</v>
      </c>
      <c r="G7" s="2">
        <v>158</v>
      </c>
      <c r="H7" s="259">
        <f t="shared" si="1"/>
        <v>0</v>
      </c>
    </row>
    <row r="8" spans="1:8">
      <c r="C8" s="258" t="s">
        <v>243</v>
      </c>
      <c r="D8" s="265">
        <v>9278.23</v>
      </c>
      <c r="E8" s="152"/>
      <c r="F8" s="267">
        <f t="shared" si="0"/>
        <v>9278.23</v>
      </c>
      <c r="G8" s="2">
        <v>177</v>
      </c>
      <c r="H8" s="259">
        <f t="shared" si="1"/>
        <v>0</v>
      </c>
    </row>
    <row r="9" spans="1:8">
      <c r="C9" s="258" t="s">
        <v>244</v>
      </c>
      <c r="D9" s="265">
        <v>41643.19</v>
      </c>
      <c r="E9" s="152"/>
      <c r="F9" s="267">
        <f t="shared" si="0"/>
        <v>41643.19</v>
      </c>
      <c r="G9" s="2">
        <v>150</v>
      </c>
      <c r="H9" s="259">
        <f t="shared" si="1"/>
        <v>0</v>
      </c>
    </row>
    <row r="10" spans="1:8">
      <c r="C10" s="258" t="s">
        <v>245</v>
      </c>
      <c r="D10" s="265">
        <v>5015.8100000000004</v>
      </c>
      <c r="E10" s="152"/>
      <c r="F10" s="267">
        <f t="shared" si="0"/>
        <v>5015.8100000000004</v>
      </c>
      <c r="G10" s="2">
        <v>125</v>
      </c>
      <c r="H10" s="259">
        <f t="shared" si="1"/>
        <v>0</v>
      </c>
    </row>
    <row r="11" spans="1:8">
      <c r="C11" s="258" t="s">
        <v>246</v>
      </c>
      <c r="D11" s="265">
        <v>770.18</v>
      </c>
      <c r="E11" s="152"/>
      <c r="F11" s="267">
        <f t="shared" si="0"/>
        <v>770.18</v>
      </c>
      <c r="G11" s="2">
        <v>185</v>
      </c>
      <c r="H11" s="259">
        <f t="shared" si="1"/>
        <v>0</v>
      </c>
    </row>
    <row r="12" spans="1:8">
      <c r="C12" s="258" t="s">
        <v>247</v>
      </c>
      <c r="D12" s="265">
        <v>387.84</v>
      </c>
      <c r="E12" s="152"/>
      <c r="F12" s="267">
        <f t="shared" si="0"/>
        <v>387.84</v>
      </c>
      <c r="G12" s="2">
        <v>185</v>
      </c>
      <c r="H12" s="259">
        <f t="shared" si="1"/>
        <v>0</v>
      </c>
    </row>
    <row r="13" spans="1:8">
      <c r="C13" s="258" t="s">
        <v>248</v>
      </c>
      <c r="D13" s="265" t="s">
        <v>249</v>
      </c>
      <c r="E13" s="152"/>
      <c r="F13" s="267">
        <f t="shared" si="0"/>
        <v>0</v>
      </c>
      <c r="G13" s="2">
        <v>180</v>
      </c>
      <c r="H13" s="259">
        <f t="shared" si="1"/>
        <v>0</v>
      </c>
    </row>
    <row r="14" spans="1:8">
      <c r="C14" s="258" t="s">
        <v>250</v>
      </c>
      <c r="D14" s="265">
        <v>360.73</v>
      </c>
      <c r="E14" s="152"/>
      <c r="F14" s="267">
        <f t="shared" si="0"/>
        <v>360.73</v>
      </c>
      <c r="G14" s="2">
        <v>190</v>
      </c>
      <c r="H14" s="259">
        <f t="shared" si="1"/>
        <v>0</v>
      </c>
    </row>
    <row r="15" spans="1:8">
      <c r="C15" s="258" t="s">
        <v>251</v>
      </c>
      <c r="D15" s="265">
        <v>106.37</v>
      </c>
      <c r="E15" s="152"/>
      <c r="F15" s="267">
        <f t="shared" si="0"/>
        <v>106.37</v>
      </c>
      <c r="G15" s="2">
        <v>0</v>
      </c>
      <c r="H15" s="259">
        <f t="shared" si="1"/>
        <v>0</v>
      </c>
    </row>
    <row r="16" spans="1:8">
      <c r="C16" s="258" t="s">
        <v>252</v>
      </c>
      <c r="D16" s="265">
        <v>3021.59</v>
      </c>
      <c r="E16" s="152"/>
      <c r="F16" s="267">
        <f t="shared" si="0"/>
        <v>3021.59</v>
      </c>
      <c r="G16" s="2">
        <v>0</v>
      </c>
      <c r="H16" s="259">
        <f t="shared" si="1"/>
        <v>0</v>
      </c>
    </row>
    <row r="17" spans="3:8">
      <c r="C17" s="258" t="s">
        <v>253</v>
      </c>
      <c r="D17" s="265">
        <v>96.03</v>
      </c>
      <c r="E17" s="152"/>
      <c r="F17" s="267">
        <f t="shared" si="0"/>
        <v>96.03</v>
      </c>
      <c r="G17" s="2">
        <v>135</v>
      </c>
      <c r="H17" s="259">
        <f t="shared" si="1"/>
        <v>0</v>
      </c>
    </row>
    <row r="18" spans="3:8">
      <c r="C18" s="258" t="s">
        <v>254</v>
      </c>
      <c r="D18" s="265">
        <v>6881.96</v>
      </c>
      <c r="E18" s="152"/>
      <c r="F18" s="267">
        <f t="shared" si="0"/>
        <v>6881.96</v>
      </c>
      <c r="G18" s="2">
        <v>70</v>
      </c>
      <c r="H18" s="259">
        <f t="shared" si="1"/>
        <v>0</v>
      </c>
    </row>
    <row r="19" spans="3:8">
      <c r="C19" s="258" t="s">
        <v>255</v>
      </c>
      <c r="D19" s="265">
        <v>14163.349999999999</v>
      </c>
      <c r="E19" s="152"/>
      <c r="F19" s="267">
        <f t="shared" si="0"/>
        <v>14163.349999999999</v>
      </c>
      <c r="G19" s="2">
        <v>300</v>
      </c>
      <c r="H19" s="259">
        <f t="shared" si="1"/>
        <v>0</v>
      </c>
    </row>
    <row r="20" spans="3:8">
      <c r="C20" s="258" t="s">
        <v>256</v>
      </c>
      <c r="D20" s="265">
        <v>12549.12</v>
      </c>
      <c r="E20" s="152"/>
      <c r="F20" s="267">
        <f t="shared" si="0"/>
        <v>12549.12</v>
      </c>
      <c r="G20" s="2">
        <v>0</v>
      </c>
      <c r="H20" s="259">
        <f t="shared" si="1"/>
        <v>0</v>
      </c>
    </row>
    <row r="21" spans="3:8" ht="15" thickBot="1">
      <c r="C21" s="260" t="s">
        <v>257</v>
      </c>
      <c r="D21" s="266">
        <v>10479.510000000002</v>
      </c>
      <c r="E21" s="261"/>
      <c r="F21" s="268">
        <f t="shared" si="0"/>
        <v>10479.510000000002</v>
      </c>
      <c r="G21" s="262">
        <v>170</v>
      </c>
      <c r="H21" s="263">
        <f t="shared" si="1"/>
        <v>0</v>
      </c>
    </row>
    <row r="22" spans="3:8" ht="15" thickBot="1">
      <c r="C22" s="254" t="s">
        <v>258</v>
      </c>
      <c r="D22" s="255">
        <f>SUM(D14:D21)</f>
        <v>47658.66</v>
      </c>
      <c r="E22" s="255">
        <f>SUM(E5:E21)</f>
        <v>0</v>
      </c>
      <c r="F22" s="255">
        <f t="shared" ref="F22" si="2">SUM(F14:F21)</f>
        <v>47658.66</v>
      </c>
      <c r="G22" s="177"/>
      <c r="H22" s="264">
        <f>SUM(H5:H21)</f>
        <v>0</v>
      </c>
    </row>
  </sheetData>
  <pageMargins left="0.7" right="0.7" top="0.75" bottom="0.75" header="0.3" footer="0.3"/>
  <pageSetup paperSize="9" orientation="portrait" horizontalDpi="90" verticalDpi="90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D1AD0-D327-4AAA-88AE-6C7522EF5097}">
  <dimension ref="A1:Q25"/>
  <sheetViews>
    <sheetView workbookViewId="0">
      <selection activeCell="D1" sqref="D1"/>
    </sheetView>
  </sheetViews>
  <sheetFormatPr defaultRowHeight="14.45"/>
  <cols>
    <col min="4" max="4" width="28.140625" customWidth="1"/>
    <col min="8" max="8" width="10.7109375" customWidth="1"/>
    <col min="9" max="9" width="11.7109375" customWidth="1"/>
    <col min="14" max="14" width="14.28515625" customWidth="1"/>
    <col min="15" max="15" width="11.85546875" customWidth="1"/>
    <col min="16" max="16" width="14.5703125" customWidth="1"/>
    <col min="17" max="17" width="12.5703125" customWidth="1"/>
    <col min="18" max="18" width="14.42578125" customWidth="1"/>
    <col min="19" max="19" width="11.28515625" customWidth="1"/>
  </cols>
  <sheetData>
    <row r="1" spans="1:17" ht="18">
      <c r="A1" s="110" t="s">
        <v>259</v>
      </c>
    </row>
    <row r="4" spans="1:17" ht="21">
      <c r="B4" s="153" t="s">
        <v>260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</row>
    <row r="5" spans="1:17">
      <c r="B5" s="36"/>
      <c r="J5" s="155"/>
      <c r="K5" s="155"/>
      <c r="M5" s="156"/>
    </row>
    <row r="7" spans="1:17" ht="15" thickBot="1">
      <c r="B7" s="157" t="s">
        <v>261</v>
      </c>
      <c r="C7" s="158"/>
      <c r="D7" s="158"/>
      <c r="E7" s="159"/>
      <c r="F7" s="159"/>
    </row>
    <row r="8" spans="1:17" ht="73.900000000000006" thickBot="1">
      <c r="B8" s="160" t="s">
        <v>262</v>
      </c>
      <c r="C8" s="161" t="s">
        <v>263</v>
      </c>
      <c r="D8" s="162" t="s">
        <v>264</v>
      </c>
      <c r="E8" s="162" t="s">
        <v>265</v>
      </c>
      <c r="F8" s="163" t="s">
        <v>266</v>
      </c>
      <c r="G8" s="164" t="s">
        <v>267</v>
      </c>
      <c r="H8" s="164" t="s">
        <v>268</v>
      </c>
      <c r="I8" s="164" t="s">
        <v>269</v>
      </c>
      <c r="J8" s="165" t="s">
        <v>270</v>
      </c>
      <c r="K8" s="165" t="s">
        <v>271</v>
      </c>
      <c r="L8" s="164" t="s">
        <v>272</v>
      </c>
      <c r="M8" s="165" t="s">
        <v>273</v>
      </c>
      <c r="N8" s="165" t="s">
        <v>274</v>
      </c>
      <c r="O8" s="164" t="s">
        <v>275</v>
      </c>
      <c r="P8" s="166" t="s">
        <v>276</v>
      </c>
      <c r="Q8" s="167" t="s">
        <v>277</v>
      </c>
    </row>
    <row r="9" spans="1:17" ht="15" thickBot="1">
      <c r="B9" s="168" t="s">
        <v>278</v>
      </c>
      <c r="C9" s="209">
        <f>1000/19</f>
        <v>52.631578947368418</v>
      </c>
      <c r="D9" s="169">
        <v>0.09</v>
      </c>
      <c r="E9" s="170">
        <f>+C9*D9</f>
        <v>4.7368421052631575</v>
      </c>
      <c r="F9" s="205"/>
      <c r="G9" s="170">
        <f>+E9*F9</f>
        <v>0</v>
      </c>
      <c r="H9" s="171">
        <f>39/90</f>
        <v>0.43333333333333335</v>
      </c>
      <c r="I9" s="171">
        <f>8.5/90</f>
        <v>9.4444444444444442E-2</v>
      </c>
      <c r="J9" s="172">
        <f>+H9*G9</f>
        <v>0</v>
      </c>
      <c r="K9" s="173">
        <f>+I9*G9</f>
        <v>0</v>
      </c>
      <c r="L9" s="174">
        <f>+J9*3.66666666666667</f>
        <v>0</v>
      </c>
      <c r="M9" s="79">
        <f t="shared" ref="M9:M10" si="0">IFERROR(+J9/F9,0)</f>
        <v>0</v>
      </c>
      <c r="N9" s="216">
        <f t="shared" ref="N9:N10" si="1">IFERROR(+K9/F9,0)</f>
        <v>0</v>
      </c>
      <c r="O9" s="213">
        <f>+K9*0.0075</f>
        <v>0</v>
      </c>
      <c r="P9" s="175">
        <f>+K9*0.0075*298</f>
        <v>0</v>
      </c>
      <c r="Q9" s="247">
        <f t="shared" ref="Q9:Q19" si="2">+L9+P9</f>
        <v>0</v>
      </c>
    </row>
    <row r="10" spans="1:17" ht="15" thickBot="1">
      <c r="B10" s="176" t="s">
        <v>279</v>
      </c>
      <c r="C10" s="210">
        <f>+C9*2</f>
        <v>105.26315789473684</v>
      </c>
      <c r="D10" s="177">
        <v>0.17299999999999999</v>
      </c>
      <c r="E10" s="170">
        <f>+C10*D10</f>
        <v>18.210526315789473</v>
      </c>
      <c r="F10" s="206"/>
      <c r="G10" s="170">
        <f>+E10*F10</f>
        <v>0</v>
      </c>
      <c r="H10" s="177">
        <v>0.2</v>
      </c>
      <c r="I10" s="177">
        <v>0</v>
      </c>
      <c r="J10" s="172">
        <f>+H10*G10</f>
        <v>0</v>
      </c>
      <c r="K10" s="173">
        <f t="shared" ref="K10:K17" si="3">+I10*G10</f>
        <v>0</v>
      </c>
      <c r="L10" s="174">
        <f>+J10*3.66666666666667</f>
        <v>0</v>
      </c>
      <c r="M10" s="79">
        <f t="shared" si="0"/>
        <v>0</v>
      </c>
      <c r="N10" s="216">
        <f t="shared" si="1"/>
        <v>0</v>
      </c>
      <c r="O10" s="213">
        <f t="shared" ref="O10:O18" si="4">+K10*0.0075</f>
        <v>0</v>
      </c>
      <c r="P10" s="175">
        <f t="shared" ref="P10:P18" si="5">+K10*0.0075*298</f>
        <v>0</v>
      </c>
      <c r="Q10" s="247">
        <f t="shared" si="2"/>
        <v>0</v>
      </c>
    </row>
    <row r="11" spans="1:17" ht="15" thickBot="1">
      <c r="B11" s="178" t="s">
        <v>280</v>
      </c>
      <c r="C11" s="178"/>
      <c r="D11" s="179"/>
      <c r="E11" s="170">
        <f t="shared" ref="E11:E17" si="6">+C11*D11</f>
        <v>0</v>
      </c>
      <c r="F11" s="207"/>
      <c r="G11" s="170">
        <f t="shared" ref="G11:G17" si="7">+E11*F11</f>
        <v>0</v>
      </c>
      <c r="H11" s="179">
        <v>0</v>
      </c>
      <c r="I11" s="179">
        <v>0</v>
      </c>
      <c r="J11" s="172">
        <f t="shared" ref="J11:J17" si="8">+H11*G11</f>
        <v>0</v>
      </c>
      <c r="K11" s="173">
        <f t="shared" si="3"/>
        <v>0</v>
      </c>
      <c r="L11" s="174">
        <f t="shared" ref="L11:L18" si="9">+J11*3.66666666666667</f>
        <v>0</v>
      </c>
      <c r="M11" s="79">
        <f>IFERROR(+J11/F11,0)</f>
        <v>0</v>
      </c>
      <c r="N11" s="216">
        <f>IFERROR(+K11/F11,0)</f>
        <v>0</v>
      </c>
      <c r="O11" s="213">
        <f t="shared" si="4"/>
        <v>0</v>
      </c>
      <c r="P11" s="175">
        <f t="shared" si="5"/>
        <v>0</v>
      </c>
      <c r="Q11" s="247">
        <f t="shared" si="2"/>
        <v>0</v>
      </c>
    </row>
    <row r="12" spans="1:17" ht="15" thickBot="1">
      <c r="B12" s="178" t="s">
        <v>281</v>
      </c>
      <c r="C12" s="178"/>
      <c r="D12" s="179"/>
      <c r="E12" s="170"/>
      <c r="F12" s="207"/>
      <c r="G12" s="170">
        <f t="shared" si="7"/>
        <v>0</v>
      </c>
      <c r="H12" s="179">
        <v>0</v>
      </c>
      <c r="I12" s="179">
        <v>0</v>
      </c>
      <c r="J12" s="172">
        <f t="shared" si="8"/>
        <v>0</v>
      </c>
      <c r="K12" s="173">
        <f t="shared" si="3"/>
        <v>0</v>
      </c>
      <c r="L12" s="174">
        <f t="shared" si="9"/>
        <v>0</v>
      </c>
      <c r="M12" s="79">
        <f t="shared" ref="M12:M18" si="10">IFERROR(+J12/F12,0)</f>
        <v>0</v>
      </c>
      <c r="N12" s="216">
        <f t="shared" ref="N12:N18" si="11">IFERROR(+K12/F12,0)</f>
        <v>0</v>
      </c>
      <c r="O12" s="213">
        <f t="shared" si="4"/>
        <v>0</v>
      </c>
      <c r="P12" s="175">
        <f t="shared" si="5"/>
        <v>0</v>
      </c>
      <c r="Q12" s="247">
        <f t="shared" si="2"/>
        <v>0</v>
      </c>
    </row>
    <row r="13" spans="1:17" ht="15" thickBot="1">
      <c r="B13" s="178" t="s">
        <v>282</v>
      </c>
      <c r="C13" s="178"/>
      <c r="D13" s="179"/>
      <c r="E13" s="170">
        <f t="shared" si="6"/>
        <v>0</v>
      </c>
      <c r="F13" s="207"/>
      <c r="G13" s="170">
        <f t="shared" si="7"/>
        <v>0</v>
      </c>
      <c r="H13" s="179">
        <v>0</v>
      </c>
      <c r="I13" s="179">
        <v>0</v>
      </c>
      <c r="J13" s="172">
        <f t="shared" si="8"/>
        <v>0</v>
      </c>
      <c r="K13" s="173">
        <f t="shared" si="3"/>
        <v>0</v>
      </c>
      <c r="L13" s="174">
        <f t="shared" si="9"/>
        <v>0</v>
      </c>
      <c r="M13" s="79">
        <f t="shared" si="10"/>
        <v>0</v>
      </c>
      <c r="N13" s="216">
        <f t="shared" si="11"/>
        <v>0</v>
      </c>
      <c r="O13" s="213">
        <f t="shared" si="4"/>
        <v>0</v>
      </c>
      <c r="P13" s="175">
        <f t="shared" si="5"/>
        <v>0</v>
      </c>
      <c r="Q13" s="247">
        <f t="shared" si="2"/>
        <v>0</v>
      </c>
    </row>
    <row r="14" spans="1:17" ht="15" thickBot="1">
      <c r="B14" s="178" t="s">
        <v>283</v>
      </c>
      <c r="C14" s="249">
        <f>+E14/D14</f>
        <v>53.333333333333336</v>
      </c>
      <c r="D14" s="179">
        <v>0.3</v>
      </c>
      <c r="E14" s="170">
        <v>16</v>
      </c>
      <c r="F14" s="207"/>
      <c r="G14" s="170">
        <f t="shared" si="7"/>
        <v>0</v>
      </c>
      <c r="H14" s="179">
        <v>0.25</v>
      </c>
      <c r="I14" s="179">
        <v>2.3E-2</v>
      </c>
      <c r="J14" s="172">
        <f t="shared" si="8"/>
        <v>0</v>
      </c>
      <c r="K14" s="173">
        <f t="shared" si="3"/>
        <v>0</v>
      </c>
      <c r="L14" s="174">
        <f t="shared" si="9"/>
        <v>0</v>
      </c>
      <c r="M14" s="79">
        <f t="shared" si="10"/>
        <v>0</v>
      </c>
      <c r="N14" s="216">
        <f t="shared" si="11"/>
        <v>0</v>
      </c>
      <c r="O14" s="213">
        <f t="shared" si="4"/>
        <v>0</v>
      </c>
      <c r="P14" s="175">
        <f t="shared" si="5"/>
        <v>0</v>
      </c>
      <c r="Q14" s="247">
        <f t="shared" si="2"/>
        <v>0</v>
      </c>
    </row>
    <row r="15" spans="1:17" ht="15" thickBot="1">
      <c r="B15" s="178" t="s">
        <v>284</v>
      </c>
      <c r="C15" s="178">
        <v>12</v>
      </c>
      <c r="D15" s="179"/>
      <c r="E15" s="170">
        <f t="shared" si="6"/>
        <v>0</v>
      </c>
      <c r="F15" s="207"/>
      <c r="G15" s="170">
        <f t="shared" si="7"/>
        <v>0</v>
      </c>
      <c r="H15" s="179">
        <v>0</v>
      </c>
      <c r="I15" s="179">
        <v>0</v>
      </c>
      <c r="J15" s="172">
        <f t="shared" si="8"/>
        <v>0</v>
      </c>
      <c r="K15" s="173">
        <f t="shared" si="3"/>
        <v>0</v>
      </c>
      <c r="L15" s="174">
        <f t="shared" si="9"/>
        <v>0</v>
      </c>
      <c r="M15" s="79">
        <f t="shared" si="10"/>
        <v>0</v>
      </c>
      <c r="N15" s="216">
        <f t="shared" si="11"/>
        <v>0</v>
      </c>
      <c r="O15" s="213">
        <f t="shared" si="4"/>
        <v>0</v>
      </c>
      <c r="P15" s="175">
        <f t="shared" si="5"/>
        <v>0</v>
      </c>
      <c r="Q15" s="247">
        <f t="shared" si="2"/>
        <v>0</v>
      </c>
    </row>
    <row r="16" spans="1:17" ht="15" thickBot="1">
      <c r="B16" s="178" t="s">
        <v>285</v>
      </c>
      <c r="C16" s="178"/>
      <c r="D16" s="179"/>
      <c r="E16" s="170">
        <f t="shared" si="6"/>
        <v>0</v>
      </c>
      <c r="F16" s="207"/>
      <c r="G16" s="170">
        <f t="shared" si="7"/>
        <v>0</v>
      </c>
      <c r="H16" s="179">
        <v>0</v>
      </c>
      <c r="I16" s="179">
        <v>0</v>
      </c>
      <c r="J16" s="172">
        <f t="shared" si="8"/>
        <v>0</v>
      </c>
      <c r="K16" s="173">
        <f t="shared" si="3"/>
        <v>0</v>
      </c>
      <c r="L16" s="174">
        <f t="shared" si="9"/>
        <v>0</v>
      </c>
      <c r="M16" s="79">
        <f t="shared" si="10"/>
        <v>0</v>
      </c>
      <c r="N16" s="216">
        <f t="shared" si="11"/>
        <v>0</v>
      </c>
      <c r="O16" s="213">
        <f t="shared" si="4"/>
        <v>0</v>
      </c>
      <c r="P16" s="175">
        <f t="shared" si="5"/>
        <v>0</v>
      </c>
      <c r="Q16" s="247">
        <f t="shared" si="2"/>
        <v>0</v>
      </c>
    </row>
    <row r="17" spans="2:17" ht="15" thickBot="1">
      <c r="B17" s="178" t="s">
        <v>285</v>
      </c>
      <c r="C17" s="178"/>
      <c r="D17" s="179"/>
      <c r="E17" s="170">
        <f t="shared" si="6"/>
        <v>0</v>
      </c>
      <c r="F17" s="207"/>
      <c r="G17" s="170">
        <f t="shared" si="7"/>
        <v>0</v>
      </c>
      <c r="H17" s="179">
        <v>0</v>
      </c>
      <c r="I17" s="179">
        <v>0</v>
      </c>
      <c r="J17" s="172">
        <f t="shared" si="8"/>
        <v>0</v>
      </c>
      <c r="K17" s="173">
        <f t="shared" si="3"/>
        <v>0</v>
      </c>
      <c r="L17" s="174">
        <f t="shared" si="9"/>
        <v>0</v>
      </c>
      <c r="M17" s="79">
        <f t="shared" si="10"/>
        <v>0</v>
      </c>
      <c r="N17" s="216">
        <f t="shared" si="11"/>
        <v>0</v>
      </c>
      <c r="O17" s="213">
        <f t="shared" si="4"/>
        <v>0</v>
      </c>
      <c r="P17" s="175">
        <f t="shared" si="5"/>
        <v>0</v>
      </c>
      <c r="Q17" s="247">
        <f t="shared" si="2"/>
        <v>0</v>
      </c>
    </row>
    <row r="18" spans="2:17" ht="15" thickBot="1">
      <c r="B18" s="180" t="s">
        <v>286</v>
      </c>
      <c r="C18" s="211" t="s">
        <v>287</v>
      </c>
      <c r="D18" s="181" t="s">
        <v>287</v>
      </c>
      <c r="E18" s="182" t="s">
        <v>287</v>
      </c>
      <c r="F18" s="208"/>
      <c r="G18" s="183" t="s">
        <v>287</v>
      </c>
      <c r="H18" s="181" t="s">
        <v>287</v>
      </c>
      <c r="I18" s="181" t="s">
        <v>287</v>
      </c>
      <c r="J18" s="184">
        <f>2.145*F18</f>
        <v>0</v>
      </c>
      <c r="K18" s="185">
        <f>0.213*F18</f>
        <v>0</v>
      </c>
      <c r="L18" s="186">
        <f t="shared" si="9"/>
        <v>0</v>
      </c>
      <c r="M18" s="79">
        <f t="shared" si="10"/>
        <v>0</v>
      </c>
      <c r="N18" s="216">
        <f t="shared" si="11"/>
        <v>0</v>
      </c>
      <c r="O18" s="214">
        <f t="shared" si="4"/>
        <v>0</v>
      </c>
      <c r="P18" s="175">
        <f t="shared" si="5"/>
        <v>0</v>
      </c>
      <c r="Q18" s="248">
        <f t="shared" si="2"/>
        <v>0</v>
      </c>
    </row>
    <row r="19" spans="2:17" ht="15" thickBot="1">
      <c r="B19" s="187" t="s">
        <v>288</v>
      </c>
      <c r="C19" s="188"/>
      <c r="D19" s="189"/>
      <c r="E19" s="189"/>
      <c r="F19" s="189"/>
      <c r="G19" s="189"/>
      <c r="H19" s="189"/>
      <c r="I19" s="189"/>
      <c r="J19" s="190">
        <f>SUM(J9:J18)</f>
        <v>0</v>
      </c>
      <c r="K19" s="190">
        <f>SUM(K9:K18)</f>
        <v>0</v>
      </c>
      <c r="L19" s="212">
        <f>SUM(L9:L18)</f>
        <v>0</v>
      </c>
      <c r="M19" s="189"/>
      <c r="N19" s="189"/>
      <c r="O19" s="215">
        <f>SUM(O9:O18)</f>
        <v>0</v>
      </c>
      <c r="P19" s="191">
        <f>SUM(P9:P18)</f>
        <v>0</v>
      </c>
      <c r="Q19" s="190">
        <f t="shared" si="2"/>
        <v>0</v>
      </c>
    </row>
    <row r="20" spans="2:17" ht="15" thickBot="1">
      <c r="B20" s="187"/>
      <c r="C20" s="188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92"/>
      <c r="Q20" s="193"/>
    </row>
    <row r="21" spans="2:17" ht="15" thickBot="1">
      <c r="B21" s="187"/>
      <c r="C21" s="188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92"/>
      <c r="Q21" s="193"/>
    </row>
    <row r="22" spans="2:17" ht="15" thickBot="1">
      <c r="B22" s="187"/>
      <c r="C22" s="194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6"/>
      <c r="Q22" s="197"/>
    </row>
    <row r="23" spans="2:17"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N23" s="198"/>
      <c r="O23" s="198"/>
      <c r="P23" s="198"/>
    </row>
    <row r="24" spans="2:17"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O24" s="198"/>
      <c r="P24" s="198"/>
    </row>
    <row r="25" spans="2:17" ht="252">
      <c r="B25" s="199" t="s">
        <v>289</v>
      </c>
      <c r="C25" s="200" t="s">
        <v>290</v>
      </c>
      <c r="D25" s="200" t="s">
        <v>291</v>
      </c>
      <c r="E25" s="200" t="s">
        <v>290</v>
      </c>
      <c r="F25" s="199"/>
      <c r="G25" s="201"/>
      <c r="H25" s="202" t="s">
        <v>292</v>
      </c>
      <c r="I25" s="200" t="s">
        <v>293</v>
      </c>
      <c r="J25" s="203" t="s">
        <v>294</v>
      </c>
      <c r="K25" s="203" t="s">
        <v>294</v>
      </c>
      <c r="L25" s="199"/>
      <c r="M25" s="199"/>
      <c r="N25" s="204"/>
      <c r="O25" s="199"/>
      <c r="P25" s="199"/>
    </row>
  </sheetData>
  <pageMargins left="0.7" right="0.7" top="0.75" bottom="0.75" header="0.3" footer="0.3"/>
  <pageSetup paperSize="9" orientation="portrait" horizontalDpi="90" verticalDpi="90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AEB330F5AB5F43B244BD5EBF09EFCA" ma:contentTypeVersion="19" ma:contentTypeDescription="Opret et nyt dokument." ma:contentTypeScope="" ma:versionID="11cd802d3e691fc73aef35af2f4d6358">
  <xsd:schema xmlns:xsd="http://www.w3.org/2001/XMLSchema" xmlns:xs="http://www.w3.org/2001/XMLSchema" xmlns:p="http://schemas.microsoft.com/office/2006/metadata/properties" xmlns:ns2="fe121e20-e7f1-46f8-9cf0-3dcc1c9d6a71" xmlns:ns3="3cb11f44-5089-44be-a7dd-4fed73cd74f9" targetNamespace="http://schemas.microsoft.com/office/2006/metadata/properties" ma:root="true" ma:fieldsID="c5279842b6896caa245d6f1dd29d9b3c" ns2:_="" ns3:_="">
    <xsd:import namespace="fe121e20-e7f1-46f8-9cf0-3dcc1c9d6a71"/>
    <xsd:import namespace="3cb11f44-5089-44be-a7dd-4fed73cd74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Datio" minOccurs="0"/>
                <xsd:element ref="ns2:oprettelsesdato" minOccurs="0"/>
                <xsd:element ref="ns2:Mappe_x0020_nr_x002e_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121e20-e7f1-46f8-9cf0-3dcc1c9d6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atio" ma:index="20" nillable="true" ma:displayName="Dato" ma:format="DateTime" ma:internalName="Datio">
      <xsd:simpleType>
        <xsd:restriction base="dms:DateTime"/>
      </xsd:simpleType>
    </xsd:element>
    <xsd:element name="oprettelsesdato" ma:index="21" nillable="true" ma:displayName="oprettelsesdato" ma:format="DateTime" ma:internalName="oprettelsesdato">
      <xsd:simpleType>
        <xsd:restriction base="dms:DateTime"/>
      </xsd:simpleType>
    </xsd:element>
    <xsd:element name="Mappe_x0020_nr_x002e_" ma:index="22" nillable="true" ma:displayName="Mappe nr." ma:internalName="Mappe_x0020_nr_x002e_">
      <xsd:simpleType>
        <xsd:restriction base="dms:Number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Billedmærker" ma:readOnly="false" ma:fieldId="{5cf76f15-5ced-4ddc-b409-7134ff3c332f}" ma:taxonomyMulti="true" ma:sspId="fd098e62-08d8-4b94-9d0e-c56b82300a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b11f44-5089-44be-a7dd-4fed73cd74f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8de68d33-f25f-415c-9877-3568b0b6fe0e}" ma:internalName="TaxCatchAll" ma:showField="CatchAllData" ma:web="3cb11f44-5089-44be-a7dd-4fed73cd74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2C63FB-184F-4756-9BF1-6F6E5964D167}"/>
</file>

<file path=customXml/itemProps2.xml><?xml version="1.0" encoding="utf-8"?>
<ds:datastoreItem xmlns:ds="http://schemas.openxmlformats.org/officeDocument/2006/customXml" ds:itemID="{FE71CBFF-C648-481B-8758-D52F23B0AB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 Strunge Folkmann</dc:creator>
  <cp:keywords/>
  <dc:description/>
  <cp:lastModifiedBy>Pia Strunge Folkmann</cp:lastModifiedBy>
  <cp:revision/>
  <dcterms:created xsi:type="dcterms:W3CDTF">2022-08-31T20:00:30Z</dcterms:created>
  <dcterms:modified xsi:type="dcterms:W3CDTF">2022-10-04T15:23:51Z</dcterms:modified>
  <cp:category/>
  <cp:contentStatus/>
</cp:coreProperties>
</file>