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25" windowWidth="15330" windowHeight="4770" activeTab="3"/>
  </bookViews>
  <sheets>
    <sheet name="1997" sheetId="1" r:id="rId1"/>
    <sheet name="1999" sheetId="2" r:id="rId2"/>
    <sheet name="2001" sheetId="3" r:id="rId3"/>
    <sheet name="2003" sheetId="4" r:id="rId4"/>
    <sheet name="2005" sheetId="5" r:id="rId5"/>
    <sheet name="grafer" sheetId="6" r:id="rId6"/>
  </sheets>
  <externalReferences>
    <externalReference r:id="rId9"/>
  </externalReferences>
  <definedNames>
    <definedName name="anlægsomr" localSheetId="0">'1997'!$M$5:$M$39</definedName>
    <definedName name="anlægsomr" localSheetId="2">'2001'!$M$5:$M$39</definedName>
    <definedName name="anlægsomr" localSheetId="3">'2003'!$M$5:$M$39</definedName>
    <definedName name="anlægsomr" localSheetId="4">'2005'!$M$5:$M$42</definedName>
    <definedName name="anlægsomr">'1999'!$M$5:$M$39</definedName>
    <definedName name="brændselomr" localSheetId="0">'1997'!$A$5:$L$40</definedName>
    <definedName name="brændselomr" localSheetId="2">'2001'!$A$5:$L$40</definedName>
    <definedName name="brændselomr" localSheetId="3">'2003'!$A$5:$L$40</definedName>
    <definedName name="brændselomr" localSheetId="4">'2005'!$A$5:$L$43</definedName>
    <definedName name="brændselomr">'1999'!$A$5:$L$40</definedName>
    <definedName name="el_net" localSheetId="0">'1997'!$S$5</definedName>
    <definedName name="el_net" localSheetId="2">'2001'!$S$5</definedName>
    <definedName name="el_net" localSheetId="3">'2003'!$S$5</definedName>
    <definedName name="el_net" localSheetId="4">'2005'!$S$5</definedName>
    <definedName name="el_net">'1999'!$S$5</definedName>
    <definedName name="elnetsomr" localSheetId="0">'1997'!$S$5:$T$40</definedName>
    <definedName name="elnetsomr" localSheetId="2">'2001'!$S$5:$T$40</definedName>
    <definedName name="elnetsomr" localSheetId="3">'2003'!$S$5:$T$40</definedName>
    <definedName name="elnetsomr" localSheetId="4">'2005'!$S$5:$T$43</definedName>
    <definedName name="elnetsomr">'1999'!$S$5:$T$40</definedName>
    <definedName name="enhedsliste">'[1]Ark2'!$G$4:$G$8</definedName>
    <definedName name="fjv_net" localSheetId="0">'1997'!$U$5</definedName>
    <definedName name="fjv_net" localSheetId="2">'2001'!$U$5</definedName>
    <definedName name="fjv_net" localSheetId="3">'2003'!$U$5</definedName>
    <definedName name="fjv_net" localSheetId="4">'2005'!$U$5</definedName>
    <definedName name="fjv_net">'1999'!$U$5</definedName>
    <definedName name="Fjvnetsomr" localSheetId="0">'1997'!$U$5:$V$40</definedName>
    <definedName name="Fjvnetsomr" localSheetId="2">'2001'!$U$5:$V$40</definedName>
    <definedName name="Fjvnetsomr" localSheetId="3">'2003'!$U$5:$V$40</definedName>
    <definedName name="Fjvnetsomr" localSheetId="4">'2005'!$U$5:$V$43</definedName>
    <definedName name="Fjvnetsomr">'1999'!$U$5:$V$40</definedName>
    <definedName name="slutforbrugsomr" localSheetId="0">'1997'!$W$5:$AF$40</definedName>
    <definedName name="slutforbrugsomr" localSheetId="2">'2001'!$W$5:$AF$40</definedName>
    <definedName name="slutforbrugsomr" localSheetId="3">'2003'!$W$5:$AF$40</definedName>
    <definedName name="slutforbrugsomr" localSheetId="4">'2005'!$W$5:$AF$43</definedName>
    <definedName name="slutforbrugsomr">'1999'!$W$5:$AF$40</definedName>
    <definedName name="sted" localSheetId="0">'1997'!$C$1</definedName>
    <definedName name="sted" localSheetId="2">'2001'!$C$1</definedName>
    <definedName name="sted" localSheetId="3">'2003'!$C$1</definedName>
    <definedName name="sted" localSheetId="4">'2005'!$C$1</definedName>
    <definedName name="sted">'1999'!$C$1</definedName>
    <definedName name="_xlnm.Print_Area" localSheetId="0">'1997'!$A$1:$AF$50</definedName>
    <definedName name="_xlnm.Print_Area" localSheetId="1">'1999'!$A$1:$AF$50</definedName>
    <definedName name="_xlnm.Print_Area" localSheetId="2">'2001'!$A$1:$AF$50</definedName>
    <definedName name="_xlnm.Print_Area" localSheetId="3">'2003'!$A$1:$AF$50</definedName>
    <definedName name="_xlnm.Print_Area" localSheetId="4">'2005'!$A$1:$AF$53</definedName>
    <definedName name="virkningsgradsomr" localSheetId="0">'1997'!$N$5:$P$40</definedName>
    <definedName name="virkningsgradsomr" localSheetId="2">'2001'!$N$5:$P$40</definedName>
    <definedName name="virkningsgradsomr" localSheetId="3">'2003'!$N$5:$P$40</definedName>
    <definedName name="virkningsgradsomr" localSheetId="4">'2005'!$N$5:$P$43</definedName>
    <definedName name="virkningsgradsomr">'1999'!$N$5:$P$40</definedName>
    <definedName name="år" localSheetId="0">'1997'!$C$2</definedName>
    <definedName name="år" localSheetId="2">'2001'!$C$2</definedName>
    <definedName name="år" localSheetId="3">'2003'!$C$2</definedName>
    <definedName name="år" localSheetId="4">'2005'!$C$2</definedName>
    <definedName name="år">'1999'!$C$2</definedName>
  </definedNames>
  <calcPr fullCalcOnLoad="1"/>
</workbook>
</file>

<file path=xl/sharedStrings.xml><?xml version="1.0" encoding="utf-8"?>
<sst xmlns="http://schemas.openxmlformats.org/spreadsheetml/2006/main" count="480" uniqueCount="104">
  <si>
    <t>Sted:</t>
  </si>
  <si>
    <t>Samsø</t>
  </si>
  <si>
    <t>År:</t>
  </si>
  <si>
    <t>Enhed:</t>
  </si>
  <si>
    <t>TJ</t>
  </si>
  <si>
    <t>Brændsel</t>
  </si>
  <si>
    <t>Anlæg</t>
  </si>
  <si>
    <t>Virkningsgrad %</t>
  </si>
  <si>
    <t>El-net</t>
  </si>
  <si>
    <t>Fjv-net</t>
  </si>
  <si>
    <t>Slutforbrug</t>
  </si>
  <si>
    <t>elimport</t>
  </si>
  <si>
    <t>LPG og petroleum</t>
  </si>
  <si>
    <t>Olie</t>
  </si>
  <si>
    <t>Diesel</t>
  </si>
  <si>
    <t>Benzin</t>
  </si>
  <si>
    <t>Halm</t>
  </si>
  <si>
    <t>Træpiller</t>
  </si>
  <si>
    <t>Træ og træflis</t>
  </si>
  <si>
    <t>Solvarme</t>
  </si>
  <si>
    <t>Vind</t>
  </si>
  <si>
    <t>Biogas</t>
  </si>
  <si>
    <t>Samlet</t>
  </si>
  <si>
    <t>Navn</t>
  </si>
  <si>
    <t>el</t>
  </si>
  <si>
    <t>proces</t>
  </si>
  <si>
    <t>varme</t>
  </si>
  <si>
    <t>ab værk</t>
  </si>
  <si>
    <t>an forbruger</t>
  </si>
  <si>
    <t>Varmtvand</t>
  </si>
  <si>
    <t>Rumvarme</t>
  </si>
  <si>
    <t>Rumvarme, korrigeret</t>
  </si>
  <si>
    <t>Transport</t>
  </si>
  <si>
    <t>Gaskomfur</t>
  </si>
  <si>
    <t>Elkomfur</t>
  </si>
  <si>
    <t>Elvandvarmer</t>
  </si>
  <si>
    <t>Elradiatorer</t>
  </si>
  <si>
    <t>Solvarmeanlæg</t>
  </si>
  <si>
    <t>Vindmøller</t>
  </si>
  <si>
    <t>Import, el</t>
  </si>
  <si>
    <t>Export, el</t>
  </si>
  <si>
    <t>Belysning</t>
  </si>
  <si>
    <t>Kølemaskiner</t>
  </si>
  <si>
    <t>Motorer, mv.</t>
  </si>
  <si>
    <t>Træpillekedel, indv.</t>
  </si>
  <si>
    <t>Oliekedel, indv.</t>
  </si>
  <si>
    <t>Varmepumpe, indv.</t>
  </si>
  <si>
    <t>Halmfyr, indv.</t>
  </si>
  <si>
    <t>Trækedel, indv.</t>
  </si>
  <si>
    <t>Tranebjerg, halm</t>
  </si>
  <si>
    <t>Tranebjerg, olie</t>
  </si>
  <si>
    <t>Tranebjerg, forbrug</t>
  </si>
  <si>
    <t>Nordby-Mårup, sol</t>
  </si>
  <si>
    <t>Nordby-Mårup, flis</t>
  </si>
  <si>
    <t>Nordby-Mårup, olie</t>
  </si>
  <si>
    <t>Nordby-Mårup, forbrug</t>
  </si>
  <si>
    <t>Onsbjerg, halm</t>
  </si>
  <si>
    <t>Onsbjerg, olie</t>
  </si>
  <si>
    <t>Onsbjerg, forbrug</t>
  </si>
  <si>
    <t>Benzinbiler, små</t>
  </si>
  <si>
    <t>Dieselbiler, små</t>
  </si>
  <si>
    <t>Busser</t>
  </si>
  <si>
    <t>Lastbiler/sættevogne/entreprenørmaskiner</t>
  </si>
  <si>
    <t>Traktorer</t>
  </si>
  <si>
    <t>Skibe</t>
  </si>
  <si>
    <t>CO2-emissioner (1000 tons)</t>
  </si>
  <si>
    <t>SO2-emissioner (tons)</t>
  </si>
  <si>
    <t>Partikel-emmisioner (tons)</t>
  </si>
  <si>
    <t>Lokale ressourcer</t>
  </si>
  <si>
    <t>Udnyttelsespct af lokale ress.</t>
  </si>
  <si>
    <t>Antal indbyggere:</t>
  </si>
  <si>
    <t>tons/indbygger</t>
  </si>
  <si>
    <t>kg/indbygger</t>
  </si>
  <si>
    <t xml:space="preserve">Vedvarende </t>
  </si>
  <si>
    <t>Energi</t>
  </si>
  <si>
    <t>Hushold-ninger, el</t>
  </si>
  <si>
    <t>Fritidshuse, el</t>
  </si>
  <si>
    <t>Landbrug og gartneri, el</t>
  </si>
  <si>
    <t>Andet produktion, el</t>
  </si>
  <si>
    <t>Privat service, el</t>
  </si>
  <si>
    <t>Offentlig Service, el</t>
  </si>
  <si>
    <t>El:</t>
  </si>
  <si>
    <t>El opr:</t>
  </si>
  <si>
    <t>Graddagskorrigeret</t>
  </si>
  <si>
    <t>Slutforbrug, samlet</t>
  </si>
  <si>
    <t>Emissioner og VE</t>
  </si>
  <si>
    <t>CO2-emissioner (tons/indb, korr.)</t>
  </si>
  <si>
    <t>SO2-emissioner (kg/indb, korr.)</t>
  </si>
  <si>
    <t>NOx-emissioner (kg/indb, korr.)</t>
  </si>
  <si>
    <t>NOx-emissioner (tons)</t>
  </si>
  <si>
    <t>Udnyttelsespct af lokale ressourcer</t>
  </si>
  <si>
    <t>Vedvarende Energi procent, korr.</t>
  </si>
  <si>
    <t>Ændring 1997-1999</t>
  </si>
  <si>
    <t>Ændring 1999-2001</t>
  </si>
  <si>
    <t>El 2001</t>
  </si>
  <si>
    <t>samlet</t>
  </si>
  <si>
    <t>Ændring 2001-2003</t>
  </si>
  <si>
    <t>Ændring 1997-2003</t>
  </si>
  <si>
    <t>Ballen-Brundby, halm</t>
  </si>
  <si>
    <t>Ballen-Brundby, olie</t>
  </si>
  <si>
    <t>Ballen-Brundby, forbrug</t>
  </si>
  <si>
    <t>Ændring 2001-2005</t>
  </si>
  <si>
    <t>Ændring 1997-2005</t>
  </si>
  <si>
    <t>(graddøgnskorrektionsfaktor)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</si>
</sst>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%"/>
    <numFmt numFmtId="175" formatCode="0.0000"/>
  </numFmts>
  <fonts count="11">
    <font>
      <sz val="10"/>
      <name val="Times New Roman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8.25"/>
      <name val="Arial"/>
      <family val="2"/>
    </font>
    <font>
      <b/>
      <sz val="1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1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textRotation="90" wrapText="1"/>
    </xf>
    <xf numFmtId="0" fontId="0" fillId="0" borderId="13" xfId="0" applyBorder="1" applyAlignment="1">
      <alignment textRotation="90" wrapText="1"/>
    </xf>
    <xf numFmtId="0" fontId="0" fillId="0" borderId="14" xfId="0" applyBorder="1" applyAlignment="1">
      <alignment textRotation="90" wrapText="1"/>
    </xf>
    <xf numFmtId="0" fontId="0" fillId="0" borderId="15" xfId="0" applyBorder="1" applyAlignment="1">
      <alignment textRotation="90" wrapText="1"/>
    </xf>
    <xf numFmtId="0" fontId="0" fillId="0" borderId="10" xfId="0" applyBorder="1" applyAlignment="1">
      <alignment wrapText="1"/>
    </xf>
    <xf numFmtId="0" fontId="0" fillId="0" borderId="9" xfId="0" applyBorder="1" applyAlignment="1">
      <alignment textRotation="90" wrapText="1"/>
    </xf>
    <xf numFmtId="0" fontId="0" fillId="0" borderId="16" xfId="0" applyBorder="1" applyAlignment="1">
      <alignment textRotation="90" wrapText="1"/>
    </xf>
    <xf numFmtId="0" fontId="0" fillId="0" borderId="0" xfId="0" applyAlignment="1">
      <alignment textRotation="90" wrapText="1"/>
    </xf>
    <xf numFmtId="172" fontId="0" fillId="0" borderId="17" xfId="0" applyNumberFormat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3" xfId="0" applyBorder="1" applyAlignment="1">
      <alignment/>
    </xf>
    <xf numFmtId="172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2" fontId="0" fillId="0" borderId="24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6" xfId="0" applyNumberFormat="1" applyBorder="1" applyAlignment="1">
      <alignment/>
    </xf>
    <xf numFmtId="172" fontId="0" fillId="0" borderId="28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31" xfId="0" applyNumberFormat="1" applyBorder="1" applyAlignment="1">
      <alignment/>
    </xf>
    <xf numFmtId="172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2" fontId="0" fillId="0" borderId="36" xfId="0" applyNumberFormat="1" applyBorder="1" applyAlignment="1">
      <alignment/>
    </xf>
    <xf numFmtId="172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9" fontId="0" fillId="0" borderId="37" xfId="18" applyBorder="1" applyAlignment="1">
      <alignment/>
    </xf>
    <xf numFmtId="0" fontId="0" fillId="0" borderId="40" xfId="0" applyBorder="1" applyAlignment="1">
      <alignment textRotation="90" wrapText="1"/>
    </xf>
    <xf numFmtId="0" fontId="0" fillId="0" borderId="41" xfId="0" applyBorder="1" applyAlignment="1">
      <alignment textRotation="90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left"/>
    </xf>
    <xf numFmtId="0" fontId="0" fillId="0" borderId="42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72" fontId="0" fillId="0" borderId="45" xfId="0" applyNumberFormat="1" applyBorder="1" applyAlignment="1">
      <alignment/>
    </xf>
    <xf numFmtId="172" fontId="0" fillId="0" borderId="46" xfId="0" applyNumberFormat="1" applyBorder="1" applyAlignment="1">
      <alignment/>
    </xf>
    <xf numFmtId="172" fontId="0" fillId="0" borderId="47" xfId="0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2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45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0" fillId="0" borderId="47" xfId="0" applyNumberFormat="1" applyBorder="1" applyAlignment="1">
      <alignment/>
    </xf>
    <xf numFmtId="174" fontId="0" fillId="0" borderId="1" xfId="18" applyNumberFormat="1" applyBorder="1" applyAlignment="1">
      <alignment/>
    </xf>
    <xf numFmtId="174" fontId="0" fillId="0" borderId="1" xfId="18" applyNumberFormat="1" applyBorder="1" applyAlignment="1">
      <alignment/>
    </xf>
    <xf numFmtId="174" fontId="0" fillId="0" borderId="37" xfId="18" applyNumberFormat="1" applyBorder="1" applyAlignment="1">
      <alignment/>
    </xf>
    <xf numFmtId="9" fontId="0" fillId="0" borderId="44" xfId="18" applyBorder="1" applyAlignment="1">
      <alignment/>
    </xf>
    <xf numFmtId="9" fontId="0" fillId="0" borderId="7" xfId="18" applyBorder="1" applyAlignment="1">
      <alignment/>
    </xf>
    <xf numFmtId="0" fontId="2" fillId="0" borderId="8" xfId="0" applyFont="1" applyBorder="1" applyAlignment="1">
      <alignment/>
    </xf>
    <xf numFmtId="9" fontId="0" fillId="0" borderId="3" xfId="18" applyBorder="1" applyAlignment="1">
      <alignment/>
    </xf>
    <xf numFmtId="174" fontId="0" fillId="0" borderId="37" xfId="18" applyNumberForma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wrapText="1"/>
    </xf>
    <xf numFmtId="172" fontId="0" fillId="2" borderId="1" xfId="0" applyNumberFormat="1" applyFill="1" applyBorder="1" applyAlignment="1">
      <alignment/>
    </xf>
    <xf numFmtId="172" fontId="0" fillId="2" borderId="5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174" fontId="0" fillId="2" borderId="4" xfId="18" applyNumberFormat="1" applyFill="1" applyBorder="1" applyAlignment="1">
      <alignment/>
    </xf>
    <xf numFmtId="174" fontId="0" fillId="2" borderId="5" xfId="18" applyNumberFormat="1" applyFill="1" applyBorder="1" applyAlignment="1">
      <alignment/>
    </xf>
    <xf numFmtId="172" fontId="0" fillId="3" borderId="48" xfId="0" applyNumberFormat="1" applyFill="1" applyBorder="1" applyAlignment="1">
      <alignment/>
    </xf>
    <xf numFmtId="172" fontId="0" fillId="3" borderId="49" xfId="0" applyNumberFormat="1" applyFill="1" applyBorder="1" applyAlignment="1">
      <alignment/>
    </xf>
    <xf numFmtId="172" fontId="0" fillId="3" borderId="50" xfId="0" applyNumberFormat="1" applyFill="1" applyBorder="1" applyAlignment="1">
      <alignment/>
    </xf>
    <xf numFmtId="174" fontId="0" fillId="3" borderId="50" xfId="18" applyNumberFormat="1" applyFill="1" applyBorder="1" applyAlignment="1">
      <alignment/>
    </xf>
    <xf numFmtId="174" fontId="0" fillId="3" borderId="49" xfId="18" applyNumberFormat="1" applyFill="1" applyBorder="1" applyAlignment="1">
      <alignment/>
    </xf>
    <xf numFmtId="172" fontId="0" fillId="4" borderId="3" xfId="0" applyNumberFormat="1" applyFill="1" applyBorder="1" applyAlignment="1">
      <alignment/>
    </xf>
    <xf numFmtId="172" fontId="0" fillId="4" borderId="7" xfId="0" applyNumberFormat="1" applyFill="1" applyBorder="1" applyAlignment="1">
      <alignment/>
    </xf>
    <xf numFmtId="172" fontId="0" fillId="4" borderId="44" xfId="0" applyNumberFormat="1" applyFill="1" applyBorder="1" applyAlignment="1">
      <alignment/>
    </xf>
    <xf numFmtId="174" fontId="0" fillId="4" borderId="44" xfId="18" applyNumberFormat="1" applyFill="1" applyBorder="1" applyAlignment="1">
      <alignment/>
    </xf>
    <xf numFmtId="174" fontId="0" fillId="4" borderId="7" xfId="18" applyNumberFormat="1" applyFill="1" applyBorder="1" applyAlignment="1">
      <alignment/>
    </xf>
    <xf numFmtId="172" fontId="0" fillId="5" borderId="3" xfId="0" applyNumberFormat="1" applyFill="1" applyBorder="1" applyAlignment="1">
      <alignment/>
    </xf>
    <xf numFmtId="172" fontId="0" fillId="5" borderId="7" xfId="0" applyNumberFormat="1" applyFill="1" applyBorder="1" applyAlignment="1">
      <alignment/>
    </xf>
    <xf numFmtId="172" fontId="0" fillId="5" borderId="44" xfId="0" applyNumberFormat="1" applyFill="1" applyBorder="1" applyAlignment="1">
      <alignment/>
    </xf>
    <xf numFmtId="174" fontId="0" fillId="5" borderId="44" xfId="18" applyNumberFormat="1" applyFill="1" applyBorder="1" applyAlignment="1">
      <alignment/>
    </xf>
    <xf numFmtId="174" fontId="0" fillId="5" borderId="7" xfId="18" applyNumberForma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5" borderId="11" xfId="0" applyFont="1" applyFill="1" applyBorder="1" applyAlignment="1">
      <alignment/>
    </xf>
    <xf numFmtId="1" fontId="0" fillId="0" borderId="19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9" fontId="0" fillId="0" borderId="0" xfId="18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6" borderId="11" xfId="0" applyFont="1" applyFill="1" applyBorder="1" applyAlignment="1">
      <alignment/>
    </xf>
    <xf numFmtId="172" fontId="0" fillId="6" borderId="3" xfId="0" applyNumberFormat="1" applyFill="1" applyBorder="1" applyAlignment="1">
      <alignment/>
    </xf>
    <xf numFmtId="172" fontId="0" fillId="6" borderId="7" xfId="0" applyNumberFormat="1" applyFill="1" applyBorder="1" applyAlignment="1">
      <alignment/>
    </xf>
    <xf numFmtId="172" fontId="0" fillId="6" borderId="44" xfId="0" applyNumberFormat="1" applyFill="1" applyBorder="1" applyAlignment="1">
      <alignment/>
    </xf>
    <xf numFmtId="174" fontId="0" fillId="6" borderId="44" xfId="18" applyNumberFormat="1" applyFill="1" applyBorder="1" applyAlignment="1">
      <alignment/>
    </xf>
    <xf numFmtId="174" fontId="0" fillId="6" borderId="7" xfId="18" applyNumberForma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7" xfId="0" applyFill="1" applyBorder="1" applyAlignment="1">
      <alignment/>
    </xf>
    <xf numFmtId="9" fontId="0" fillId="0" borderId="3" xfId="18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4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Brændsel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8275"/>
          <c:w val="0.9635"/>
          <c:h val="0.79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'1997'!$C$2:$D$2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'1997'!$A$6:$K$6</c:f>
              <c:strCache>
                <c:ptCount val="11"/>
                <c:pt idx="0">
                  <c:v>elimport</c:v>
                </c:pt>
                <c:pt idx="1">
                  <c:v>LPG og petroleum</c:v>
                </c:pt>
                <c:pt idx="2">
                  <c:v>Olie</c:v>
                </c:pt>
                <c:pt idx="3">
                  <c:v>Diesel</c:v>
                </c:pt>
                <c:pt idx="4">
                  <c:v>Benzin</c:v>
                </c:pt>
                <c:pt idx="5">
                  <c:v>Halm</c:v>
                </c:pt>
                <c:pt idx="6">
                  <c:v>Træpiller</c:v>
                </c:pt>
                <c:pt idx="7">
                  <c:v>Træ og træflis</c:v>
                </c:pt>
                <c:pt idx="8">
                  <c:v>Solvarme</c:v>
                </c:pt>
                <c:pt idx="9">
                  <c:v>Vind</c:v>
                </c:pt>
                <c:pt idx="10">
                  <c:v>Biogas</c:v>
                </c:pt>
              </c:strCache>
            </c:strRef>
          </c:cat>
          <c:val>
            <c:numRef>
              <c:f>'1997'!$A$39:$K$39</c:f>
              <c:numCache>
                <c:ptCount val="11"/>
                <c:pt idx="0">
                  <c:v>98.99693028453605</c:v>
                </c:pt>
                <c:pt idx="1">
                  <c:v>2.7800000000000002</c:v>
                </c:pt>
                <c:pt idx="2">
                  <c:v>132.97338105263157</c:v>
                </c:pt>
                <c:pt idx="3">
                  <c:v>155.41000000000003</c:v>
                </c:pt>
                <c:pt idx="4">
                  <c:v>41.78</c:v>
                </c:pt>
                <c:pt idx="5">
                  <c:v>51.6832</c:v>
                </c:pt>
                <c:pt idx="6">
                  <c:v>1.62</c:v>
                </c:pt>
                <c:pt idx="7">
                  <c:v>5.54</c:v>
                </c:pt>
                <c:pt idx="8">
                  <c:v>0.072</c:v>
                </c:pt>
                <c:pt idx="9">
                  <c:v>5.6247192</c:v>
                </c:pt>
                <c:pt idx="10">
                  <c:v>0</c:v>
                </c:pt>
              </c:numCache>
            </c:numRef>
          </c:val>
        </c:ser>
        <c:ser>
          <c:idx val="0"/>
          <c:order val="1"/>
          <c:tx>
            <c:strRef>
              <c:f>'1999'!$C$2:$D$2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'1999'!$A$6:$K$6</c:f>
              <c:strCache>
                <c:ptCount val="11"/>
                <c:pt idx="0">
                  <c:v>elimport</c:v>
                </c:pt>
                <c:pt idx="1">
                  <c:v>LPG og petroleum</c:v>
                </c:pt>
                <c:pt idx="2">
                  <c:v>Olie</c:v>
                </c:pt>
                <c:pt idx="3">
                  <c:v>Diesel</c:v>
                </c:pt>
                <c:pt idx="4">
                  <c:v>Benzin</c:v>
                </c:pt>
                <c:pt idx="5">
                  <c:v>Halm</c:v>
                </c:pt>
                <c:pt idx="6">
                  <c:v>Træpiller</c:v>
                </c:pt>
                <c:pt idx="7">
                  <c:v>Træ og træflis</c:v>
                </c:pt>
                <c:pt idx="8">
                  <c:v>Solvarme</c:v>
                </c:pt>
                <c:pt idx="9">
                  <c:v>Vind</c:v>
                </c:pt>
                <c:pt idx="10">
                  <c:v>Biogas</c:v>
                </c:pt>
              </c:strCache>
            </c:strRef>
          </c:cat>
          <c:val>
            <c:numRef>
              <c:f>'1999'!$A$39:$K$39</c:f>
              <c:numCache>
                <c:ptCount val="11"/>
                <c:pt idx="0">
                  <c:v>101.92680412371134</c:v>
                </c:pt>
                <c:pt idx="1">
                  <c:v>2.4</c:v>
                </c:pt>
                <c:pt idx="2">
                  <c:v>149.24960000000002</c:v>
                </c:pt>
                <c:pt idx="3">
                  <c:v>137.5</c:v>
                </c:pt>
                <c:pt idx="4">
                  <c:v>40.400000000000006</c:v>
                </c:pt>
                <c:pt idx="5">
                  <c:v>52.5088</c:v>
                </c:pt>
                <c:pt idx="6">
                  <c:v>8.19</c:v>
                </c:pt>
                <c:pt idx="7">
                  <c:v>5.54</c:v>
                </c:pt>
                <c:pt idx="8">
                  <c:v>0.18</c:v>
                </c:pt>
                <c:pt idx="9">
                  <c:v>5.5</c:v>
                </c:pt>
                <c:pt idx="10">
                  <c:v>0</c:v>
                </c:pt>
              </c:numCache>
            </c:numRef>
          </c:val>
        </c:ser>
        <c:ser>
          <c:idx val="1"/>
          <c:order val="2"/>
          <c:tx>
            <c:strRef>
              <c:f>'2001'!$C$2:$D$2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'1999'!$A$6:$K$6</c:f>
              <c:strCache>
                <c:ptCount val="11"/>
                <c:pt idx="0">
                  <c:v>elimport</c:v>
                </c:pt>
                <c:pt idx="1">
                  <c:v>LPG og petroleum</c:v>
                </c:pt>
                <c:pt idx="2">
                  <c:v>Olie</c:v>
                </c:pt>
                <c:pt idx="3">
                  <c:v>Diesel</c:v>
                </c:pt>
                <c:pt idx="4">
                  <c:v>Benzin</c:v>
                </c:pt>
                <c:pt idx="5">
                  <c:v>Halm</c:v>
                </c:pt>
                <c:pt idx="6">
                  <c:v>Træpiller</c:v>
                </c:pt>
                <c:pt idx="7">
                  <c:v>Træ og træflis</c:v>
                </c:pt>
                <c:pt idx="8">
                  <c:v>Solvarme</c:v>
                </c:pt>
                <c:pt idx="9">
                  <c:v>Vind</c:v>
                </c:pt>
                <c:pt idx="10">
                  <c:v>Biogas</c:v>
                </c:pt>
              </c:strCache>
            </c:strRef>
          </c:cat>
          <c:val>
            <c:numRef>
              <c:f>'2001'!$A$39:$K$39</c:f>
              <c:numCache>
                <c:ptCount val="11"/>
                <c:pt idx="0">
                  <c:v>3.5738457525773266</c:v>
                </c:pt>
                <c:pt idx="1">
                  <c:v>2.0999999999999996</c:v>
                </c:pt>
                <c:pt idx="2">
                  <c:v>108.02241684210526</c:v>
                </c:pt>
                <c:pt idx="3">
                  <c:v>156.59</c:v>
                </c:pt>
                <c:pt idx="4">
                  <c:v>32.93</c:v>
                </c:pt>
                <c:pt idx="5">
                  <c:v>54.400600000000004</c:v>
                </c:pt>
                <c:pt idx="6">
                  <c:v>14.63</c:v>
                </c:pt>
                <c:pt idx="7">
                  <c:v>5.5</c:v>
                </c:pt>
                <c:pt idx="8">
                  <c:v>0.6624</c:v>
                </c:pt>
                <c:pt idx="9">
                  <c:v>97.572546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'2003'!$C$2:$D$2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'2003'!$A$6:$K$6</c:f>
              <c:strCache>
                <c:ptCount val="11"/>
                <c:pt idx="0">
                  <c:v>elimport</c:v>
                </c:pt>
                <c:pt idx="1">
                  <c:v>LPG og petroleum</c:v>
                </c:pt>
                <c:pt idx="2">
                  <c:v>Olie</c:v>
                </c:pt>
                <c:pt idx="3">
                  <c:v>Diesel</c:v>
                </c:pt>
                <c:pt idx="4">
                  <c:v>Benzin</c:v>
                </c:pt>
                <c:pt idx="5">
                  <c:v>Halm</c:v>
                </c:pt>
                <c:pt idx="6">
                  <c:v>Træpiller</c:v>
                </c:pt>
                <c:pt idx="7">
                  <c:v>Træ og træflis</c:v>
                </c:pt>
                <c:pt idx="8">
                  <c:v>Solvarme</c:v>
                </c:pt>
                <c:pt idx="9">
                  <c:v>Vind</c:v>
                </c:pt>
                <c:pt idx="10">
                  <c:v>Biogas</c:v>
                </c:pt>
              </c:strCache>
            </c:strRef>
          </c:cat>
          <c:val>
            <c:numRef>
              <c:f>'2003'!$A$39:$K$39</c:f>
              <c:numCache>
                <c:ptCount val="11"/>
                <c:pt idx="0">
                  <c:v>-279.8762886597938</c:v>
                </c:pt>
                <c:pt idx="1">
                  <c:v>2.1</c:v>
                </c:pt>
                <c:pt idx="2">
                  <c:v>87.10241684210524</c:v>
                </c:pt>
                <c:pt idx="3">
                  <c:v>156</c:v>
                </c:pt>
                <c:pt idx="4">
                  <c:v>33</c:v>
                </c:pt>
                <c:pt idx="5">
                  <c:v>62.70060000000001</c:v>
                </c:pt>
                <c:pt idx="6">
                  <c:v>22</c:v>
                </c:pt>
                <c:pt idx="7">
                  <c:v>16.1</c:v>
                </c:pt>
                <c:pt idx="8">
                  <c:v>4.2624</c:v>
                </c:pt>
                <c:pt idx="9">
                  <c:v>377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'2005'!$C$2:$D$2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'2005'!$A$6:$K$6</c:f>
              <c:strCache>
                <c:ptCount val="11"/>
                <c:pt idx="0">
                  <c:v>elimport</c:v>
                </c:pt>
                <c:pt idx="1">
                  <c:v>LPG og petroleum</c:v>
                </c:pt>
                <c:pt idx="2">
                  <c:v>Olie</c:v>
                </c:pt>
                <c:pt idx="3">
                  <c:v>Diesel</c:v>
                </c:pt>
                <c:pt idx="4">
                  <c:v>Benzin</c:v>
                </c:pt>
                <c:pt idx="5">
                  <c:v>Halm</c:v>
                </c:pt>
                <c:pt idx="6">
                  <c:v>Træpiller</c:v>
                </c:pt>
                <c:pt idx="7">
                  <c:v>Træ og træflis</c:v>
                </c:pt>
                <c:pt idx="8">
                  <c:v>Solvarme</c:v>
                </c:pt>
                <c:pt idx="9">
                  <c:v>Vind</c:v>
                </c:pt>
                <c:pt idx="10">
                  <c:v>Biogas</c:v>
                </c:pt>
              </c:strCache>
            </c:strRef>
          </c:cat>
          <c:val>
            <c:numRef>
              <c:f>'2005'!$A$42:$K$42</c:f>
              <c:numCache>
                <c:ptCount val="11"/>
                <c:pt idx="0">
                  <c:v>-285.6810208822306</c:v>
                </c:pt>
                <c:pt idx="1">
                  <c:v>1.8</c:v>
                </c:pt>
                <c:pt idx="2">
                  <c:v>74.11999999999999</c:v>
                </c:pt>
                <c:pt idx="3">
                  <c:v>163.3</c:v>
                </c:pt>
                <c:pt idx="4">
                  <c:v>48.5</c:v>
                </c:pt>
                <c:pt idx="5">
                  <c:v>78.8</c:v>
                </c:pt>
                <c:pt idx="6">
                  <c:v>21.3</c:v>
                </c:pt>
                <c:pt idx="7">
                  <c:v>20</c:v>
                </c:pt>
                <c:pt idx="8">
                  <c:v>4.7</c:v>
                </c:pt>
                <c:pt idx="9">
                  <c:v>386.261154</c:v>
                </c:pt>
                <c:pt idx="10">
                  <c:v>0</c:v>
                </c:pt>
              </c:numCache>
            </c:numRef>
          </c:val>
        </c:ser>
        <c:axId val="10946800"/>
        <c:axId val="31412337"/>
      </c:barChart>
      <c:catAx>
        <c:axId val="1094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468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"/>
          <c:y val="0.9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Slutforbrug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05"/>
          <c:w val="0.9265"/>
          <c:h val="0.790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'1997'!$C$2:$D$2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'2005'!$W$6:$AF$6</c:f>
              <c:strCache>
                <c:ptCount val="10"/>
                <c:pt idx="0">
                  <c:v>Varmtvand</c:v>
                </c:pt>
                <c:pt idx="1">
                  <c:v>Rumvarme</c:v>
                </c:pt>
                <c:pt idx="2">
                  <c:v>Rumvarme, korrigeret</c:v>
                </c:pt>
                <c:pt idx="3">
                  <c:v>Hushold-ninger, el</c:v>
                </c:pt>
                <c:pt idx="4">
                  <c:v>Fritidshuse, el</c:v>
                </c:pt>
                <c:pt idx="5">
                  <c:v>Landbrug og gartneri, el</c:v>
                </c:pt>
                <c:pt idx="6">
                  <c:v>Andet produktion, el</c:v>
                </c:pt>
                <c:pt idx="7">
                  <c:v>Privat service, el</c:v>
                </c:pt>
                <c:pt idx="8">
                  <c:v>Offentlig Service, el</c:v>
                </c:pt>
                <c:pt idx="9">
                  <c:v>Transport</c:v>
                </c:pt>
              </c:strCache>
            </c:strRef>
          </c:cat>
          <c:val>
            <c:numRef>
              <c:f>'1997'!$W$39:$AF$39</c:f>
              <c:numCache>
                <c:ptCount val="10"/>
                <c:pt idx="0">
                  <c:v>24.622329</c:v>
                </c:pt>
                <c:pt idx="1">
                  <c:v>116.56873349999998</c:v>
                </c:pt>
                <c:pt idx="2">
                  <c:v>116.4489916063174</c:v>
                </c:pt>
                <c:pt idx="3">
                  <c:v>26.703251799999997</c:v>
                </c:pt>
                <c:pt idx="4">
                  <c:v>6.28404045</c:v>
                </c:pt>
                <c:pt idx="5">
                  <c:v>14.015634999999996</c:v>
                </c:pt>
                <c:pt idx="6">
                  <c:v>11.04774</c:v>
                </c:pt>
                <c:pt idx="7">
                  <c:v>10.334719</c:v>
                </c:pt>
                <c:pt idx="8">
                  <c:v>10.683525499999998</c:v>
                </c:pt>
                <c:pt idx="9">
                  <c:v>62.88515944700461</c:v>
                </c:pt>
              </c:numCache>
            </c:numRef>
          </c:val>
        </c:ser>
        <c:ser>
          <c:idx val="0"/>
          <c:order val="1"/>
          <c:tx>
            <c:strRef>
              <c:f>'1999'!$C$2:$D$2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'2005'!$W$6:$AF$6</c:f>
              <c:strCache>
                <c:ptCount val="10"/>
                <c:pt idx="0">
                  <c:v>Varmtvand</c:v>
                </c:pt>
                <c:pt idx="1">
                  <c:v>Rumvarme</c:v>
                </c:pt>
                <c:pt idx="2">
                  <c:v>Rumvarme, korrigeret</c:v>
                </c:pt>
                <c:pt idx="3">
                  <c:v>Hushold-ninger, el</c:v>
                </c:pt>
                <c:pt idx="4">
                  <c:v>Fritidshuse, el</c:v>
                </c:pt>
                <c:pt idx="5">
                  <c:v>Landbrug og gartneri, el</c:v>
                </c:pt>
                <c:pt idx="6">
                  <c:v>Andet produktion, el</c:v>
                </c:pt>
                <c:pt idx="7">
                  <c:v>Privat service, el</c:v>
                </c:pt>
                <c:pt idx="8">
                  <c:v>Offentlig Service, el</c:v>
                </c:pt>
                <c:pt idx="9">
                  <c:v>Transport</c:v>
                </c:pt>
              </c:strCache>
            </c:strRef>
          </c:cat>
          <c:val>
            <c:numRef>
              <c:f>'1999'!$W$39:$AF$39</c:f>
              <c:numCache>
                <c:ptCount val="10"/>
                <c:pt idx="0">
                  <c:v>27.75175668</c:v>
                </c:pt>
                <c:pt idx="1">
                  <c:v>131.01102792</c:v>
                </c:pt>
                <c:pt idx="2">
                  <c:v>141.22633928679207</c:v>
                </c:pt>
                <c:pt idx="3">
                  <c:v>26.48480175</c:v>
                </c:pt>
                <c:pt idx="4">
                  <c:v>6.18020015</c:v>
                </c:pt>
                <c:pt idx="5">
                  <c:v>14.783614999999998</c:v>
                </c:pt>
                <c:pt idx="6">
                  <c:v>11.001047000000003</c:v>
                </c:pt>
                <c:pt idx="7">
                  <c:v>10.410279000000001</c:v>
                </c:pt>
                <c:pt idx="8">
                  <c:v>11.473023</c:v>
                </c:pt>
                <c:pt idx="9">
                  <c:v>55.795</c:v>
                </c:pt>
              </c:numCache>
            </c:numRef>
          </c:val>
        </c:ser>
        <c:ser>
          <c:idx val="1"/>
          <c:order val="2"/>
          <c:tx>
            <c:strRef>
              <c:f>'2001'!$C$2:$D$2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'2005'!$W$6:$AF$6</c:f>
              <c:strCache>
                <c:ptCount val="10"/>
                <c:pt idx="0">
                  <c:v>Varmtvand</c:v>
                </c:pt>
                <c:pt idx="1">
                  <c:v>Rumvarme</c:v>
                </c:pt>
                <c:pt idx="2">
                  <c:v>Rumvarme, korrigeret</c:v>
                </c:pt>
                <c:pt idx="3">
                  <c:v>Hushold-ninger, el</c:v>
                </c:pt>
                <c:pt idx="4">
                  <c:v>Fritidshuse, el</c:v>
                </c:pt>
                <c:pt idx="5">
                  <c:v>Landbrug og gartneri, el</c:v>
                </c:pt>
                <c:pt idx="6">
                  <c:v>Andet produktion, el</c:v>
                </c:pt>
                <c:pt idx="7">
                  <c:v>Privat service, el</c:v>
                </c:pt>
                <c:pt idx="8">
                  <c:v>Offentlig Service, el</c:v>
                </c:pt>
                <c:pt idx="9">
                  <c:v>Transport</c:v>
                </c:pt>
              </c:strCache>
            </c:strRef>
          </c:cat>
          <c:val>
            <c:numRef>
              <c:f>'2001'!$W$39:$AF$39</c:f>
              <c:numCache>
                <c:ptCount val="10"/>
                <c:pt idx="0">
                  <c:v>23.916262000000003</c:v>
                </c:pt>
                <c:pt idx="1">
                  <c:v>111.0573105</c:v>
                </c:pt>
                <c:pt idx="2">
                  <c:v>112.22208340942302</c:v>
                </c:pt>
                <c:pt idx="3">
                  <c:v>25.724778900000004</c:v>
                </c:pt>
                <c:pt idx="4">
                  <c:v>6.3291514</c:v>
                </c:pt>
                <c:pt idx="5">
                  <c:v>15.226429</c:v>
                </c:pt>
                <c:pt idx="6">
                  <c:v>6.412799</c:v>
                </c:pt>
                <c:pt idx="7">
                  <c:v>13.840703</c:v>
                </c:pt>
                <c:pt idx="8">
                  <c:v>9.276029</c:v>
                </c:pt>
                <c:pt idx="9">
                  <c:v>61.72169231950845</c:v>
                </c:pt>
              </c:numCache>
            </c:numRef>
          </c:val>
        </c:ser>
        <c:ser>
          <c:idx val="3"/>
          <c:order val="3"/>
          <c:tx>
            <c:strRef>
              <c:f>'2003'!$C$2:$D$2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'2005'!$W$6:$AF$6</c:f>
              <c:strCache>
                <c:ptCount val="10"/>
                <c:pt idx="0">
                  <c:v>Varmtvand</c:v>
                </c:pt>
                <c:pt idx="1">
                  <c:v>Rumvarme</c:v>
                </c:pt>
                <c:pt idx="2">
                  <c:v>Rumvarme, korrigeret</c:v>
                </c:pt>
                <c:pt idx="3">
                  <c:v>Hushold-ninger, el</c:v>
                </c:pt>
                <c:pt idx="4">
                  <c:v>Fritidshuse, el</c:v>
                </c:pt>
                <c:pt idx="5">
                  <c:v>Landbrug og gartneri, el</c:v>
                </c:pt>
                <c:pt idx="6">
                  <c:v>Andet produktion, el</c:v>
                </c:pt>
                <c:pt idx="7">
                  <c:v>Privat service, el</c:v>
                </c:pt>
                <c:pt idx="8">
                  <c:v>Offentlig Service, el</c:v>
                </c:pt>
                <c:pt idx="9">
                  <c:v>Transport</c:v>
                </c:pt>
              </c:strCache>
            </c:strRef>
          </c:cat>
          <c:val>
            <c:numRef>
              <c:f>'2003'!$W$39:$AF$39</c:f>
              <c:numCache>
                <c:ptCount val="10"/>
                <c:pt idx="0">
                  <c:v>24.374534500000003</c:v>
                </c:pt>
                <c:pt idx="1">
                  <c:v>112.8843555</c:v>
                </c:pt>
                <c:pt idx="2">
                  <c:v>112.8843555</c:v>
                </c:pt>
                <c:pt idx="3">
                  <c:v>25.724778900000004</c:v>
                </c:pt>
                <c:pt idx="4">
                  <c:v>6.3291514</c:v>
                </c:pt>
                <c:pt idx="5">
                  <c:v>15.226429</c:v>
                </c:pt>
                <c:pt idx="6">
                  <c:v>6.412799</c:v>
                </c:pt>
                <c:pt idx="7">
                  <c:v>13.840703</c:v>
                </c:pt>
                <c:pt idx="8">
                  <c:v>9.276029</c:v>
                </c:pt>
                <c:pt idx="9">
                  <c:v>61.49129032258065</c:v>
                </c:pt>
              </c:numCache>
            </c:numRef>
          </c:val>
        </c:ser>
        <c:ser>
          <c:idx val="4"/>
          <c:order val="4"/>
          <c:tx>
            <c:strRef>
              <c:f>'2005'!$C$2:$D$2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'2005'!$W$6:$AF$6</c:f>
              <c:strCache>
                <c:ptCount val="10"/>
                <c:pt idx="0">
                  <c:v>Varmtvand</c:v>
                </c:pt>
                <c:pt idx="1">
                  <c:v>Rumvarme</c:v>
                </c:pt>
                <c:pt idx="2">
                  <c:v>Rumvarme, korrigeret</c:v>
                </c:pt>
                <c:pt idx="3">
                  <c:v>Hushold-ninger, el</c:v>
                </c:pt>
                <c:pt idx="4">
                  <c:v>Fritidshuse, el</c:v>
                </c:pt>
                <c:pt idx="5">
                  <c:v>Landbrug og gartneri, el</c:v>
                </c:pt>
                <c:pt idx="6">
                  <c:v>Andet produktion, el</c:v>
                </c:pt>
                <c:pt idx="7">
                  <c:v>Privat service, el</c:v>
                </c:pt>
                <c:pt idx="8">
                  <c:v>Offentlig Service, el</c:v>
                </c:pt>
                <c:pt idx="9">
                  <c:v>Transport</c:v>
                </c:pt>
              </c:strCache>
            </c:strRef>
          </c:cat>
          <c:val>
            <c:numRef>
              <c:f>'2005'!$W$42:$AF$42</c:f>
              <c:numCache>
                <c:ptCount val="10"/>
                <c:pt idx="0">
                  <c:v>25.499724999999998</c:v>
                </c:pt>
                <c:pt idx="1">
                  <c:v>119.112025</c:v>
                </c:pt>
                <c:pt idx="2">
                  <c:v>128.48207101950914</c:v>
                </c:pt>
                <c:pt idx="3">
                  <c:v>25.45847678859471</c:v>
                </c:pt>
                <c:pt idx="4">
                  <c:v>6.290480413849287</c:v>
                </c:pt>
                <c:pt idx="5">
                  <c:v>15.133395828920566</c:v>
                </c:pt>
                <c:pt idx="6">
                  <c:v>6.3736169287169036</c:v>
                </c:pt>
                <c:pt idx="7">
                  <c:v>13.756136586558043</c:v>
                </c:pt>
                <c:pt idx="8">
                  <c:v>9.21935265173116</c:v>
                </c:pt>
                <c:pt idx="9">
                  <c:v>67.07967588325653</c:v>
                </c:pt>
              </c:numCache>
            </c:numRef>
          </c:val>
        </c:ser>
        <c:axId val="14275578"/>
        <c:axId val="61371339"/>
      </c:bar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/>
            </a:pPr>
          </a:p>
        </c:txPr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755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5"/>
          <c:y val="0.9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Emissioner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1"/>
          <c:w val="0.9707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grafer!$B$57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grafer!$A$58:$A$60</c:f>
              <c:strCache/>
            </c:strRef>
          </c:cat>
          <c:val>
            <c:numRef>
              <c:f>grafer!$B$58:$B$60</c:f>
              <c:numCache/>
            </c:numRef>
          </c:val>
        </c:ser>
        <c:ser>
          <c:idx val="1"/>
          <c:order val="1"/>
          <c:tx>
            <c:strRef>
              <c:f>grafer!$C$57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grafer!$A$58:$A$60</c:f>
              <c:strCache/>
            </c:strRef>
          </c:cat>
          <c:val>
            <c:numRef>
              <c:f>grafer!$C$58:$C$60</c:f>
              <c:numCache/>
            </c:numRef>
          </c:val>
        </c:ser>
        <c:ser>
          <c:idx val="2"/>
          <c:order val="2"/>
          <c:tx>
            <c:strRef>
              <c:f>grafer!$D$57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grafer!$A$58:$A$60</c:f>
              <c:strCache/>
            </c:strRef>
          </c:cat>
          <c:val>
            <c:numRef>
              <c:f>grafer!$D$58:$D$60</c:f>
              <c:numCache/>
            </c:numRef>
          </c:val>
        </c:ser>
        <c:ser>
          <c:idx val="3"/>
          <c:order val="3"/>
          <c:tx>
            <c:strRef>
              <c:f>grafer!$E$57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grafer!$A$58:$A$60</c:f>
              <c:strCache/>
            </c:strRef>
          </c:cat>
          <c:val>
            <c:numRef>
              <c:f>grafer!$E$58:$E$60</c:f>
              <c:numCache/>
            </c:numRef>
          </c:val>
        </c:ser>
        <c:ser>
          <c:idx val="4"/>
          <c:order val="4"/>
          <c:tx>
            <c:strRef>
              <c:f>grafer!$F$57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grafer!$A$58:$A$60</c:f>
              <c:strCache/>
            </c:strRef>
          </c:cat>
          <c:val>
            <c:numRef>
              <c:f>grafer!$F$58:$F$60</c:f>
              <c:numCache/>
            </c:numRef>
          </c:val>
        </c:ser>
        <c:axId val="15471140"/>
        <c:axId val="5022533"/>
      </c:bar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5022533"/>
        <c:crosses val="autoZero"/>
        <c:auto val="1"/>
        <c:lblOffset val="100"/>
        <c:noMultiLvlLbl val="0"/>
      </c:catAx>
      <c:valAx>
        <c:axId val="5022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71140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34275"/>
          <c:y val="0.90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11</xdr:col>
      <xdr:colOff>609600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9525" y="38100"/>
        <a:ext cx="6600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22</xdr:row>
      <xdr:rowOff>57150</xdr:rowOff>
    </xdr:from>
    <xdr:to>
      <xdr:col>11</xdr:col>
      <xdr:colOff>609600</xdr:colOff>
      <xdr:row>44</xdr:row>
      <xdr:rowOff>28575</xdr:rowOff>
    </xdr:to>
    <xdr:graphicFrame>
      <xdr:nvGraphicFramePr>
        <xdr:cNvPr id="2" name="Chart 2"/>
        <xdr:cNvGraphicFramePr/>
      </xdr:nvGraphicFramePr>
      <xdr:xfrm>
        <a:off x="19050" y="3619500"/>
        <a:ext cx="65913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95250</xdr:rowOff>
    </xdr:from>
    <xdr:to>
      <xdr:col>11</xdr:col>
      <xdr:colOff>581025</xdr:colOff>
      <xdr:row>75</xdr:row>
      <xdr:rowOff>38100</xdr:rowOff>
    </xdr:to>
    <xdr:graphicFrame>
      <xdr:nvGraphicFramePr>
        <xdr:cNvPr id="3" name="Chart 3"/>
        <xdr:cNvGraphicFramePr/>
      </xdr:nvGraphicFramePr>
      <xdr:xfrm>
        <a:off x="19050" y="9201150"/>
        <a:ext cx="6562725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ams&#248;%20Energibalance\energibalance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gibalance"/>
      <sheetName val="Ark2"/>
      <sheetName val="Ark3"/>
    </sheetNames>
    <sheetDataSet>
      <sheetData sheetId="1">
        <row r="4">
          <cell r="G4" t="str">
            <v>MWh</v>
          </cell>
        </row>
        <row r="5">
          <cell r="G5" t="str">
            <v>GWh</v>
          </cell>
        </row>
        <row r="6">
          <cell r="G6" t="str">
            <v>GJ</v>
          </cell>
        </row>
        <row r="7">
          <cell r="G7" t="str">
            <v>TJ</v>
          </cell>
        </row>
        <row r="8">
          <cell r="G8" t="str">
            <v>PJ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11">
    <pageSetUpPr fitToPage="1"/>
  </sheetPr>
  <dimension ref="A1:AY50"/>
  <sheetViews>
    <sheetView showGridLines="0" zoomScale="75" zoomScaleNormal="75" workbookViewId="0" topLeftCell="A10">
      <selection activeCell="Y40" sqref="Y40"/>
    </sheetView>
  </sheetViews>
  <sheetFormatPr defaultColWidth="9.33203125" defaultRowHeight="12.75"/>
  <cols>
    <col min="1" max="1" width="6.5" style="0" customWidth="1"/>
    <col min="2" max="2" width="6.16015625" style="0" customWidth="1"/>
    <col min="3" max="3" width="6.83203125" style="0" customWidth="1"/>
    <col min="4" max="4" width="7.16015625" style="0" customWidth="1"/>
    <col min="5" max="11" width="5.83203125" style="0" customWidth="1"/>
    <col min="12" max="12" width="7.33203125" style="0" customWidth="1"/>
    <col min="13" max="13" width="23.16015625" style="0" customWidth="1"/>
    <col min="14" max="14" width="4.83203125" style="0" customWidth="1"/>
    <col min="15" max="15" width="6.66015625" style="0" customWidth="1"/>
    <col min="16" max="18" width="4.83203125" style="0" customWidth="1"/>
    <col min="19" max="19" width="7.16015625" style="0" customWidth="1"/>
    <col min="20" max="20" width="6.33203125" style="0" customWidth="1"/>
    <col min="21" max="21" width="7" style="0" customWidth="1"/>
    <col min="22" max="22" width="7.16015625" style="0" customWidth="1"/>
    <col min="23" max="23" width="6" style="0" customWidth="1"/>
    <col min="24" max="25" width="6.83203125" style="0" customWidth="1"/>
    <col min="26" max="31" width="5.83203125" style="0" customWidth="1"/>
    <col min="32" max="32" width="6.33203125" style="0" customWidth="1"/>
    <col min="35" max="45" width="5.83203125" style="0" customWidth="1"/>
    <col min="46" max="46" width="6.5" style="0" customWidth="1"/>
    <col min="47" max="47" width="6.66015625" style="0" customWidth="1"/>
    <col min="48" max="48" width="6" style="0" customWidth="1"/>
    <col min="49" max="50" width="5.83203125" style="0" customWidth="1"/>
  </cols>
  <sheetData>
    <row r="1" spans="1:31" ht="12.75">
      <c r="A1" s="1" t="s">
        <v>0</v>
      </c>
      <c r="B1" s="2"/>
      <c r="C1" s="2" t="s">
        <v>1</v>
      </c>
      <c r="D1" s="3"/>
      <c r="E1" s="1" t="s">
        <v>70</v>
      </c>
      <c r="F1" s="2"/>
      <c r="G1" s="2"/>
      <c r="H1" s="2"/>
      <c r="I1" s="3">
        <v>4331</v>
      </c>
      <c r="S1" s="7" t="s">
        <v>82</v>
      </c>
      <c r="T1" s="7">
        <v>0.155</v>
      </c>
      <c r="U1" s="7"/>
      <c r="V1" s="7"/>
      <c r="W1" s="6">
        <f>(11.1+2.8+0.095)*0.175</f>
        <v>2.4491249999999996</v>
      </c>
      <c r="X1" s="6">
        <f>(11.1+2.8+0.095)*0.825</f>
        <v>11.545874999999999</v>
      </c>
      <c r="Y1" s="7"/>
      <c r="Z1" s="8">
        <f>0.49+0.039+0.001+17.273+2.177+0.078+0.972+0.019</f>
        <v>21.049</v>
      </c>
      <c r="AA1" s="9">
        <f>3.46+2.52</f>
        <v>5.98</v>
      </c>
      <c r="AB1" s="9">
        <f>23.39+0.457+0.101+0.383</f>
        <v>24.331</v>
      </c>
      <c r="AC1" s="9">
        <f>10.612+0.159+0.087+0.25+0.707+0.672</f>
        <v>12.487000000000002</v>
      </c>
      <c r="AD1" s="10">
        <f>7.557+0.296+2.203+0.128+0.838</f>
        <v>11.022</v>
      </c>
      <c r="AE1" s="9">
        <f>6.365+0.933+2.15+0.979+1.449+0.821+1.82+0.669</f>
        <v>15.186</v>
      </c>
    </row>
    <row r="2" spans="1:32" ht="12.75">
      <c r="A2" s="4" t="s">
        <v>2</v>
      </c>
      <c r="B2" s="5"/>
      <c r="C2" s="153">
        <v>1997</v>
      </c>
      <c r="D2" s="154"/>
      <c r="E2" s="4"/>
      <c r="F2" s="5"/>
      <c r="G2" s="5"/>
      <c r="H2" s="5"/>
      <c r="I2" s="89"/>
      <c r="S2" s="7" t="s">
        <v>81</v>
      </c>
      <c r="T2" s="7">
        <v>0.109</v>
      </c>
      <c r="U2" s="7"/>
      <c r="V2" s="7"/>
      <c r="W2" s="6">
        <f>(0.186+7.42+1.227+0.248)*0.175</f>
        <v>1.5891749999999998</v>
      </c>
      <c r="X2" s="6">
        <f>(0.186+7.42+1.227+0.248)*0.825</f>
        <v>7.4918249999999995</v>
      </c>
      <c r="Y2" s="7"/>
      <c r="Z2" s="6">
        <f>0.475+0.048+0.001+17.334+4.981+0.118+7.057+0.118</f>
        <v>30.131999999999994</v>
      </c>
      <c r="AA2" s="7">
        <f>3.52+3.863</f>
        <v>7.383</v>
      </c>
      <c r="AB2" s="7">
        <f>16.401+0.275+0.101+0.378</f>
        <v>17.154999999999998</v>
      </c>
      <c r="AC2" s="9">
        <f>10.72+0.159+0.082+0.221+0.687+0.671</f>
        <v>12.540000000000001</v>
      </c>
      <c r="AD2" s="10">
        <f>7.573+0.343+2.046+0.124+0.856</f>
        <v>10.942</v>
      </c>
      <c r="AE2" s="9">
        <f>5.751+0.931+1.866+0.978+1.401+0.865+1.733+0.616</f>
        <v>14.141</v>
      </c>
      <c r="AF2" s="93"/>
    </row>
    <row r="3" spans="1:26" ht="13.5" thickBot="1">
      <c r="A3" s="11" t="s">
        <v>3</v>
      </c>
      <c r="B3" s="12"/>
      <c r="C3" s="12" t="s">
        <v>4</v>
      </c>
      <c r="D3" s="13"/>
      <c r="E3" s="11"/>
      <c r="F3" s="12"/>
      <c r="G3" s="12"/>
      <c r="H3" s="12"/>
      <c r="I3" s="13"/>
      <c r="W3" s="46"/>
      <c r="X3" s="46"/>
      <c r="Z3" s="46"/>
    </row>
    <row r="4" spans="1:35" ht="13.5" thickBot="1">
      <c r="A4" s="14"/>
      <c r="B4" s="2"/>
      <c r="C4" s="2"/>
      <c r="D4" s="15"/>
      <c r="E4" s="15"/>
      <c r="F4" s="15"/>
      <c r="G4" s="15"/>
      <c r="H4" s="15"/>
      <c r="I4" s="15"/>
      <c r="J4" s="15"/>
      <c r="K4" s="15"/>
      <c r="L4" s="15"/>
      <c r="M4" s="16" t="str">
        <f>"Energibalance, "&amp;sted&amp;" "&amp;år</f>
        <v>Energibalance, Samsø 1997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7"/>
      <c r="AI4" t="s">
        <v>83</v>
      </c>
    </row>
    <row r="5" spans="1:49" ht="13.5" thickBot="1">
      <c r="A5" s="14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6</v>
      </c>
      <c r="N5" s="18" t="s">
        <v>7</v>
      </c>
      <c r="O5" s="18"/>
      <c r="P5" s="18"/>
      <c r="Q5" s="18"/>
      <c r="R5" s="18"/>
      <c r="S5" s="14" t="s">
        <v>8</v>
      </c>
      <c r="T5" s="20"/>
      <c r="U5" s="18" t="s">
        <v>9</v>
      </c>
      <c r="V5" s="18"/>
      <c r="W5" s="14" t="s">
        <v>10</v>
      </c>
      <c r="X5" s="18"/>
      <c r="Y5" s="18"/>
      <c r="Z5" s="18"/>
      <c r="AA5" s="18"/>
      <c r="AB5" s="18"/>
      <c r="AC5" s="18"/>
      <c r="AD5" s="18"/>
      <c r="AE5" s="18"/>
      <c r="AF5" s="20"/>
      <c r="AI5" t="str">
        <f>A5</f>
        <v>Brændsel</v>
      </c>
      <c r="AU5" t="str">
        <f>S5</f>
        <v>El-net</v>
      </c>
      <c r="AW5" t="str">
        <f>U5</f>
        <v>Fjv-net</v>
      </c>
    </row>
    <row r="6" spans="1:51" s="28" customFormat="1" ht="62.25" customHeight="1" thickBot="1">
      <c r="A6" s="21" t="s">
        <v>11</v>
      </c>
      <c r="B6" s="22" t="s">
        <v>12</v>
      </c>
      <c r="C6" s="22" t="s">
        <v>13</v>
      </c>
      <c r="D6" s="23" t="s">
        <v>14</v>
      </c>
      <c r="E6" s="23" t="s">
        <v>15</v>
      </c>
      <c r="F6" s="23" t="s">
        <v>16</v>
      </c>
      <c r="G6" s="23" t="s">
        <v>17</v>
      </c>
      <c r="H6" s="23" t="s">
        <v>18</v>
      </c>
      <c r="I6" s="23" t="s">
        <v>19</v>
      </c>
      <c r="J6" s="23" t="s">
        <v>20</v>
      </c>
      <c r="K6" s="23" t="s">
        <v>21</v>
      </c>
      <c r="L6" s="24" t="s">
        <v>22</v>
      </c>
      <c r="M6" s="25" t="s">
        <v>23</v>
      </c>
      <c r="N6" s="22" t="s">
        <v>24</v>
      </c>
      <c r="O6" s="23" t="s">
        <v>25</v>
      </c>
      <c r="P6" s="24" t="s">
        <v>26</v>
      </c>
      <c r="Q6" s="23" t="s">
        <v>8</v>
      </c>
      <c r="R6" s="26" t="s">
        <v>9</v>
      </c>
      <c r="S6" s="21" t="s">
        <v>27</v>
      </c>
      <c r="T6" s="27" t="s">
        <v>28</v>
      </c>
      <c r="U6" s="22" t="s">
        <v>27</v>
      </c>
      <c r="V6" s="24" t="s">
        <v>28</v>
      </c>
      <c r="W6" s="21" t="s">
        <v>29</v>
      </c>
      <c r="X6" s="23" t="s">
        <v>30</v>
      </c>
      <c r="Y6" s="23" t="s">
        <v>31</v>
      </c>
      <c r="Z6" s="23" t="s">
        <v>75</v>
      </c>
      <c r="AA6" s="23" t="s">
        <v>76</v>
      </c>
      <c r="AB6" s="23" t="s">
        <v>77</v>
      </c>
      <c r="AC6" s="23" t="s">
        <v>78</v>
      </c>
      <c r="AD6" s="24" t="s">
        <v>79</v>
      </c>
      <c r="AE6" s="24" t="s">
        <v>80</v>
      </c>
      <c r="AF6" s="27" t="s">
        <v>32</v>
      </c>
      <c r="AI6" s="28" t="str">
        <f>A6</f>
        <v>elimport</v>
      </c>
      <c r="AJ6" s="28" t="str">
        <f aca="true" t="shared" si="0" ref="AJ6:AT6">B6</f>
        <v>LPG og petroleum</v>
      </c>
      <c r="AK6" s="28" t="str">
        <f t="shared" si="0"/>
        <v>Olie</v>
      </c>
      <c r="AL6" s="28" t="str">
        <f t="shared" si="0"/>
        <v>Diesel</v>
      </c>
      <c r="AM6" s="28" t="str">
        <f t="shared" si="0"/>
        <v>Benzin</v>
      </c>
      <c r="AN6" s="28" t="str">
        <f t="shared" si="0"/>
        <v>Halm</v>
      </c>
      <c r="AO6" s="28" t="str">
        <f t="shared" si="0"/>
        <v>Træpiller</v>
      </c>
      <c r="AP6" s="28" t="str">
        <f t="shared" si="0"/>
        <v>Træ og træflis</v>
      </c>
      <c r="AQ6" s="28" t="str">
        <f t="shared" si="0"/>
        <v>Solvarme</v>
      </c>
      <c r="AR6" s="28" t="str">
        <f t="shared" si="0"/>
        <v>Vind</v>
      </c>
      <c r="AS6" s="28" t="str">
        <f t="shared" si="0"/>
        <v>Biogas</v>
      </c>
      <c r="AT6" s="28" t="str">
        <f t="shared" si="0"/>
        <v>Samlet</v>
      </c>
      <c r="AU6" s="28" t="str">
        <f>S6</f>
        <v>ab værk</v>
      </c>
      <c r="AV6" s="28" t="str">
        <f>T6</f>
        <v>an forbruger</v>
      </c>
      <c r="AW6" s="28" t="str">
        <f>U6</f>
        <v>ab værk</v>
      </c>
      <c r="AX6" s="28" t="str">
        <f>V6</f>
        <v>an forbruger</v>
      </c>
      <c r="AY6" s="28" t="s">
        <v>84</v>
      </c>
    </row>
    <row r="7" spans="1:51" ht="12.75">
      <c r="A7" s="29"/>
      <c r="B7" s="30">
        <f>2.54+0.24</f>
        <v>2.7800000000000002</v>
      </c>
      <c r="C7" s="30"/>
      <c r="D7" s="31"/>
      <c r="E7" s="31"/>
      <c r="F7" s="31"/>
      <c r="G7" s="31"/>
      <c r="H7" s="31"/>
      <c r="I7" s="31"/>
      <c r="J7" s="31"/>
      <c r="K7" s="31"/>
      <c r="L7" s="32">
        <f>SUM(A7:K7)</f>
        <v>2.7800000000000002</v>
      </c>
      <c r="M7" s="33" t="s">
        <v>33</v>
      </c>
      <c r="N7" s="34"/>
      <c r="O7" s="35"/>
      <c r="P7" s="36">
        <v>38</v>
      </c>
      <c r="Q7" s="35"/>
      <c r="R7" s="37"/>
      <c r="S7" s="38"/>
      <c r="T7" s="39"/>
      <c r="U7" s="40"/>
      <c r="V7" s="41"/>
      <c r="W7" s="38"/>
      <c r="X7" s="42"/>
      <c r="Y7" s="42"/>
      <c r="Z7" s="42">
        <f>L7*P7/100</f>
        <v>1.0564000000000002</v>
      </c>
      <c r="AA7" s="42"/>
      <c r="AB7" s="42"/>
      <c r="AC7" s="42"/>
      <c r="AD7" s="41"/>
      <c r="AE7" s="41"/>
      <c r="AF7" s="39"/>
      <c r="AI7">
        <f aca="true" t="shared" si="1" ref="AI7:AI38">IF(A7&lt;&gt;0,$AT7,"")</f>
      </c>
      <c r="AJ7">
        <f aca="true" t="shared" si="2" ref="AJ7:AJ38">IF(B7&lt;&gt;0,$AT7,"")</f>
        <v>2.7800000000000002</v>
      </c>
      <c r="AK7">
        <f aca="true" t="shared" si="3" ref="AK7:AK38">IF(C7&lt;&gt;0,$AT7,"")</f>
      </c>
      <c r="AL7">
        <f aca="true" t="shared" si="4" ref="AL7:AL38">IF(D7&lt;&gt;0,$AT7,"")</f>
      </c>
      <c r="AM7">
        <f aca="true" t="shared" si="5" ref="AM7:AM38">IF(E7&lt;&gt;0,$AT7,"")</f>
      </c>
      <c r="AN7">
        <f aca="true" t="shared" si="6" ref="AN7:AN38">IF(F7&lt;&gt;0,$AT7,"")</f>
      </c>
      <c r="AO7">
        <f aca="true" t="shared" si="7" ref="AO7:AO38">IF(G7&lt;&gt;0,$AT7,"")</f>
      </c>
      <c r="AP7">
        <f aca="true" t="shared" si="8" ref="AP7:AP38">IF(H7&lt;&gt;0,$AT7,"")</f>
      </c>
      <c r="AQ7">
        <f aca="true" t="shared" si="9" ref="AQ7:AQ38">IF(I7&lt;&gt;0,$AT7,"")</f>
      </c>
      <c r="AR7">
        <f aca="true" t="shared" si="10" ref="AR7:AR38">IF(J7&lt;&gt;0,$AT7,"")</f>
      </c>
      <c r="AS7">
        <f aca="true" t="shared" si="11" ref="AS7:AS38">IF(K7&lt;&gt;0,$AT7,"")</f>
      </c>
      <c r="AT7" s="46">
        <f aca="true" t="shared" si="12" ref="AT7:AT12">IF(L7&lt;&gt;0,IF(Y7=0,L7,AY7/P7*100),"")</f>
        <v>2.7800000000000002</v>
      </c>
      <c r="AV7">
        <f aca="true" t="shared" si="13" ref="AV7:AV14">IF(T7&lt;&gt;0,AY7/P7*100,"")</f>
      </c>
      <c r="AY7" s="94">
        <f aca="true" t="shared" si="14" ref="AY7:AY38">SUM(W7,Y7:AF7)</f>
        <v>1.0564000000000002</v>
      </c>
    </row>
    <row r="8" spans="1:51" ht="12.75">
      <c r="A8" s="29"/>
      <c r="B8" s="30"/>
      <c r="C8" s="30"/>
      <c r="D8" s="31"/>
      <c r="E8" s="31"/>
      <c r="F8" s="31"/>
      <c r="G8" s="31"/>
      <c r="H8" s="31"/>
      <c r="I8" s="31"/>
      <c r="J8" s="31"/>
      <c r="K8" s="31"/>
      <c r="L8" s="32"/>
      <c r="M8" s="33" t="s">
        <v>34</v>
      </c>
      <c r="N8" s="34"/>
      <c r="O8" s="35"/>
      <c r="P8" s="36">
        <v>44</v>
      </c>
      <c r="Q8" s="35">
        <v>97</v>
      </c>
      <c r="R8" s="43"/>
      <c r="S8" s="38">
        <f>T8/Q8*100*-1</f>
        <v>-5.994664948453607</v>
      </c>
      <c r="T8" s="39">
        <f>SUM(W8:AF8)/P8*100</f>
        <v>5.814824999999999</v>
      </c>
      <c r="U8" s="40"/>
      <c r="V8" s="41"/>
      <c r="W8" s="38"/>
      <c r="X8" s="42"/>
      <c r="Y8" s="42"/>
      <c r="Z8" s="42">
        <f>Z2*15.5%*P8/100</f>
        <v>2.0550024</v>
      </c>
      <c r="AA8" s="42">
        <f>AA2*15.5%*P8/100</f>
        <v>0.5035206</v>
      </c>
      <c r="AB8" s="42"/>
      <c r="AC8" s="42"/>
      <c r="AD8" s="41"/>
      <c r="AE8" s="41"/>
      <c r="AF8" s="39"/>
      <c r="AI8">
        <f t="shared" si="1"/>
      </c>
      <c r="AJ8">
        <f t="shared" si="2"/>
      </c>
      <c r="AK8">
        <f t="shared" si="3"/>
      </c>
      <c r="AL8">
        <f t="shared" si="4"/>
      </c>
      <c r="AM8">
        <f t="shared" si="5"/>
      </c>
      <c r="AN8">
        <f t="shared" si="6"/>
      </c>
      <c r="AO8">
        <f t="shared" si="7"/>
      </c>
      <c r="AP8">
        <f t="shared" si="8"/>
      </c>
      <c r="AQ8">
        <f t="shared" si="9"/>
      </c>
      <c r="AR8">
        <f t="shared" si="10"/>
      </c>
      <c r="AS8">
        <f t="shared" si="11"/>
      </c>
      <c r="AT8" s="46">
        <f t="shared" si="12"/>
      </c>
      <c r="AU8" s="94">
        <f>AV8/Q8*100*-1</f>
        <v>-5.994664948453607</v>
      </c>
      <c r="AV8" s="94">
        <f t="shared" si="13"/>
        <v>5.814824999999999</v>
      </c>
      <c r="AY8" s="94">
        <f t="shared" si="14"/>
        <v>2.5585229999999997</v>
      </c>
    </row>
    <row r="9" spans="1:51" ht="12.75">
      <c r="A9" s="29"/>
      <c r="B9" s="30"/>
      <c r="C9" s="30"/>
      <c r="D9" s="31"/>
      <c r="E9" s="31"/>
      <c r="F9" s="31"/>
      <c r="G9" s="31"/>
      <c r="H9" s="31"/>
      <c r="I9" s="31"/>
      <c r="J9" s="31"/>
      <c r="K9" s="31"/>
      <c r="L9" s="32"/>
      <c r="M9" s="33" t="s">
        <v>35</v>
      </c>
      <c r="N9" s="34"/>
      <c r="O9" s="35"/>
      <c r="P9" s="36">
        <v>90</v>
      </c>
      <c r="Q9" s="35">
        <v>97</v>
      </c>
      <c r="R9" s="43"/>
      <c r="S9" s="38">
        <f>T9/Q9*100*-1</f>
        <v>-1.6383247422680411</v>
      </c>
      <c r="T9" s="39">
        <f>W9/P9*100</f>
        <v>1.589175</v>
      </c>
      <c r="U9" s="40"/>
      <c r="V9" s="39"/>
      <c r="W9" s="40">
        <f>W$2*$P9/100</f>
        <v>1.4302575</v>
      </c>
      <c r="X9" s="42"/>
      <c r="Y9" s="42"/>
      <c r="Z9" s="42"/>
      <c r="AA9" s="42"/>
      <c r="AB9" s="42"/>
      <c r="AC9" s="42"/>
      <c r="AD9" s="41"/>
      <c r="AE9" s="41"/>
      <c r="AF9" s="39"/>
      <c r="AI9">
        <f t="shared" si="1"/>
      </c>
      <c r="AJ9">
        <f t="shared" si="2"/>
      </c>
      <c r="AK9">
        <f t="shared" si="3"/>
      </c>
      <c r="AL9">
        <f t="shared" si="4"/>
      </c>
      <c r="AM9">
        <f t="shared" si="5"/>
      </c>
      <c r="AN9">
        <f t="shared" si="6"/>
      </c>
      <c r="AO9">
        <f t="shared" si="7"/>
      </c>
      <c r="AP9">
        <f t="shared" si="8"/>
      </c>
      <c r="AQ9">
        <f t="shared" si="9"/>
      </c>
      <c r="AR9">
        <f t="shared" si="10"/>
      </c>
      <c r="AS9">
        <f t="shared" si="11"/>
      </c>
      <c r="AT9" s="46">
        <f t="shared" si="12"/>
      </c>
      <c r="AU9" s="94">
        <f>AV9/Q9*100*-1</f>
        <v>-1.6383247422680411</v>
      </c>
      <c r="AV9" s="94">
        <f t="shared" si="13"/>
        <v>1.589175</v>
      </c>
      <c r="AY9" s="94">
        <f t="shared" si="14"/>
        <v>1.4302575</v>
      </c>
    </row>
    <row r="10" spans="1:51" ht="12.75">
      <c r="A10" s="29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2"/>
      <c r="M10" s="33" t="s">
        <v>36</v>
      </c>
      <c r="N10" s="34"/>
      <c r="O10" s="35"/>
      <c r="P10" s="36">
        <v>100</v>
      </c>
      <c r="Q10" s="35">
        <v>97</v>
      </c>
      <c r="R10" s="43"/>
      <c r="S10" s="38">
        <f>T10/Q10*100*-1</f>
        <v>-7.723530927835053</v>
      </c>
      <c r="T10" s="39">
        <f>X10/P10*100</f>
        <v>7.491825</v>
      </c>
      <c r="U10" s="40"/>
      <c r="V10" s="41"/>
      <c r="W10" s="38"/>
      <c r="X10" s="40">
        <f>X$2*$P10/100</f>
        <v>7.491825</v>
      </c>
      <c r="Y10" s="42">
        <f>X10*$Y$40</f>
        <v>7.484129237288136</v>
      </c>
      <c r="Z10" s="42"/>
      <c r="AA10" s="42"/>
      <c r="AB10" s="42"/>
      <c r="AC10" s="42"/>
      <c r="AD10" s="41"/>
      <c r="AE10" s="41"/>
      <c r="AF10" s="39"/>
      <c r="AI10">
        <f t="shared" si="1"/>
      </c>
      <c r="AJ10">
        <f t="shared" si="2"/>
      </c>
      <c r="AK10">
        <f t="shared" si="3"/>
      </c>
      <c r="AL10">
        <f t="shared" si="4"/>
      </c>
      <c r="AM10">
        <f t="shared" si="5"/>
      </c>
      <c r="AN10">
        <f t="shared" si="6"/>
      </c>
      <c r="AO10">
        <f t="shared" si="7"/>
      </c>
      <c r="AP10">
        <f t="shared" si="8"/>
      </c>
      <c r="AQ10">
        <f t="shared" si="9"/>
      </c>
      <c r="AR10">
        <f t="shared" si="10"/>
      </c>
      <c r="AS10">
        <f t="shared" si="11"/>
      </c>
      <c r="AT10" s="46">
        <f t="shared" si="12"/>
      </c>
      <c r="AU10" s="94">
        <f>AV10/Q10*100*-1</f>
        <v>-7.715597151843438</v>
      </c>
      <c r="AV10" s="94">
        <f t="shared" si="13"/>
        <v>7.484129237288135</v>
      </c>
      <c r="AY10" s="94">
        <f t="shared" si="14"/>
        <v>7.484129237288136</v>
      </c>
    </row>
    <row r="11" spans="1:51" ht="12.75">
      <c r="A11" s="29"/>
      <c r="B11" s="30"/>
      <c r="C11" s="30"/>
      <c r="D11" s="31"/>
      <c r="E11" s="31"/>
      <c r="F11" s="31"/>
      <c r="G11" s="31"/>
      <c r="H11" s="31"/>
      <c r="I11" s="31">
        <f>10*2*0.0036</f>
        <v>0.072</v>
      </c>
      <c r="J11" s="31"/>
      <c r="K11" s="31"/>
      <c r="L11" s="32">
        <f>SUM(A11:K11)</f>
        <v>0.072</v>
      </c>
      <c r="M11" s="33" t="s">
        <v>37</v>
      </c>
      <c r="N11" s="34"/>
      <c r="O11" s="35"/>
      <c r="P11" s="36">
        <v>100</v>
      </c>
      <c r="Q11" s="35"/>
      <c r="R11" s="37"/>
      <c r="S11" s="38"/>
      <c r="T11" s="39"/>
      <c r="U11" s="40"/>
      <c r="V11" s="41"/>
      <c r="W11" s="38">
        <f>L11*P11/100*0.8</f>
        <v>0.0576</v>
      </c>
      <c r="X11" s="42">
        <f>L11*P11/100*0.2</f>
        <v>0.0144</v>
      </c>
      <c r="Y11" s="42">
        <f>X11*$Y$40</f>
        <v>0.014385208012326657</v>
      </c>
      <c r="Z11" s="42"/>
      <c r="AA11" s="42"/>
      <c r="AB11" s="42"/>
      <c r="AC11" s="42"/>
      <c r="AD11" s="41"/>
      <c r="AE11" s="41"/>
      <c r="AF11" s="39"/>
      <c r="AI11">
        <f t="shared" si="1"/>
      </c>
      <c r="AJ11">
        <f t="shared" si="2"/>
      </c>
      <c r="AK11">
        <f t="shared" si="3"/>
      </c>
      <c r="AL11">
        <f t="shared" si="4"/>
      </c>
      <c r="AM11">
        <f t="shared" si="5"/>
      </c>
      <c r="AN11">
        <f t="shared" si="6"/>
      </c>
      <c r="AO11">
        <f t="shared" si="7"/>
      </c>
      <c r="AP11">
        <f t="shared" si="8"/>
      </c>
      <c r="AQ11">
        <f t="shared" si="9"/>
        <v>0.07198520801232666</v>
      </c>
      <c r="AR11">
        <f t="shared" si="10"/>
      </c>
      <c r="AS11">
        <f t="shared" si="11"/>
      </c>
      <c r="AT11" s="46">
        <f t="shared" si="12"/>
        <v>0.07198520801232666</v>
      </c>
      <c r="AV11" s="94">
        <f t="shared" si="13"/>
      </c>
      <c r="AY11" s="94">
        <f t="shared" si="14"/>
        <v>0.07198520801232666</v>
      </c>
    </row>
    <row r="12" spans="1:51" ht="12.75">
      <c r="A12" s="29"/>
      <c r="B12" s="30"/>
      <c r="C12" s="30"/>
      <c r="D12" s="31"/>
      <c r="E12" s="31"/>
      <c r="F12" s="31"/>
      <c r="G12" s="31"/>
      <c r="H12" s="31"/>
      <c r="I12" s="31"/>
      <c r="J12" s="31">
        <f>1562.422*0.0036</f>
        <v>5.6247192</v>
      </c>
      <c r="K12" s="31"/>
      <c r="L12" s="32">
        <f>SUM(A12:K12)</f>
        <v>5.6247192</v>
      </c>
      <c r="M12" s="33" t="s">
        <v>38</v>
      </c>
      <c r="N12" s="34">
        <v>100</v>
      </c>
      <c r="O12" s="35"/>
      <c r="P12" s="36"/>
      <c r="Q12" s="35"/>
      <c r="R12" s="37"/>
      <c r="S12" s="38">
        <f>L12*N12/100</f>
        <v>5.6247192</v>
      </c>
      <c r="T12" s="39"/>
      <c r="U12" s="40"/>
      <c r="V12" s="41"/>
      <c r="W12" s="38"/>
      <c r="X12" s="42"/>
      <c r="Y12" s="42"/>
      <c r="Z12" s="42"/>
      <c r="AA12" s="42"/>
      <c r="AB12" s="42"/>
      <c r="AC12" s="42"/>
      <c r="AD12" s="41"/>
      <c r="AE12" s="41"/>
      <c r="AF12" s="39"/>
      <c r="AI12">
        <f t="shared" si="1"/>
      </c>
      <c r="AJ12">
        <f t="shared" si="2"/>
      </c>
      <c r="AK12">
        <f t="shared" si="3"/>
      </c>
      <c r="AL12">
        <f t="shared" si="4"/>
      </c>
      <c r="AM12">
        <f t="shared" si="5"/>
      </c>
      <c r="AN12">
        <f t="shared" si="6"/>
      </c>
      <c r="AO12">
        <f t="shared" si="7"/>
      </c>
      <c r="AP12">
        <f t="shared" si="8"/>
      </c>
      <c r="AQ12">
        <f t="shared" si="9"/>
      </c>
      <c r="AR12">
        <f t="shared" si="10"/>
        <v>5.6247192</v>
      </c>
      <c r="AS12">
        <f t="shared" si="11"/>
      </c>
      <c r="AT12" s="46">
        <f t="shared" si="12"/>
        <v>5.6247192</v>
      </c>
      <c r="AU12">
        <f>AT12*N12/100</f>
        <v>5.6247192</v>
      </c>
      <c r="AV12" s="94">
        <f t="shared" si="13"/>
      </c>
      <c r="AY12" s="94">
        <f t="shared" si="14"/>
        <v>0</v>
      </c>
    </row>
    <row r="13" spans="1:51" ht="12.75">
      <c r="A13" s="29">
        <f>S13/N13*100</f>
        <v>98.99693028453605</v>
      </c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2">
        <f>SUM(A13:K13)</f>
        <v>98.99693028453605</v>
      </c>
      <c r="M13" s="33" t="s">
        <v>39</v>
      </c>
      <c r="N13" s="34">
        <v>100</v>
      </c>
      <c r="O13" s="35"/>
      <c r="P13" s="36"/>
      <c r="Q13" s="35"/>
      <c r="R13" s="37"/>
      <c r="S13" s="38">
        <f>-SUM(S7:S12,S14:S38)</f>
        <v>98.99693028453605</v>
      </c>
      <c r="T13" s="39"/>
      <c r="U13" s="40"/>
      <c r="V13" s="41"/>
      <c r="W13" s="38"/>
      <c r="X13" s="42"/>
      <c r="Y13" s="42"/>
      <c r="Z13" s="42"/>
      <c r="AA13" s="42"/>
      <c r="AB13" s="42"/>
      <c r="AC13" s="42"/>
      <c r="AD13" s="41"/>
      <c r="AE13" s="41"/>
      <c r="AF13" s="39"/>
      <c r="AI13">
        <f t="shared" si="1"/>
        <v>98.98890127876984</v>
      </c>
      <c r="AJ13">
        <f t="shared" si="2"/>
      </c>
      <c r="AK13">
        <f t="shared" si="3"/>
      </c>
      <c r="AL13">
        <f t="shared" si="4"/>
      </c>
      <c r="AM13">
        <f t="shared" si="5"/>
      </c>
      <c r="AN13">
        <f t="shared" si="6"/>
      </c>
      <c r="AO13">
        <f t="shared" si="7"/>
      </c>
      <c r="AP13">
        <f t="shared" si="8"/>
      </c>
      <c r="AQ13">
        <f t="shared" si="9"/>
      </c>
      <c r="AR13">
        <f t="shared" si="10"/>
      </c>
      <c r="AS13">
        <f t="shared" si="11"/>
      </c>
      <c r="AT13" s="46">
        <f>AU13/N13*100</f>
        <v>98.98890127876984</v>
      </c>
      <c r="AU13" s="96">
        <f>-SUM(AU7:AU12,AU14:AU38)</f>
        <v>98.98890127876984</v>
      </c>
      <c r="AV13" s="94">
        <f t="shared" si="13"/>
      </c>
      <c r="AY13" s="94">
        <f t="shared" si="14"/>
        <v>0</v>
      </c>
    </row>
    <row r="14" spans="1:51" ht="12.75">
      <c r="A14" s="29"/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2">
        <f>SUM(A14:K14)</f>
        <v>0</v>
      </c>
      <c r="M14" s="33" t="s">
        <v>40</v>
      </c>
      <c r="N14" s="34">
        <v>100</v>
      </c>
      <c r="O14" s="35"/>
      <c r="P14" s="36"/>
      <c r="Q14" s="35"/>
      <c r="R14" s="37"/>
      <c r="S14" s="38"/>
      <c r="T14" s="39"/>
      <c r="U14" s="40"/>
      <c r="V14" s="41"/>
      <c r="W14" s="38"/>
      <c r="X14" s="42"/>
      <c r="Y14" s="42"/>
      <c r="Z14" s="42"/>
      <c r="AA14" s="42"/>
      <c r="AB14" s="42"/>
      <c r="AC14" s="42"/>
      <c r="AD14" s="42"/>
      <c r="AE14" s="42"/>
      <c r="AF14" s="39"/>
      <c r="AI14">
        <f t="shared" si="1"/>
      </c>
      <c r="AJ14">
        <f t="shared" si="2"/>
      </c>
      <c r="AK14">
        <f t="shared" si="3"/>
      </c>
      <c r="AL14">
        <f t="shared" si="4"/>
      </c>
      <c r="AM14">
        <f t="shared" si="5"/>
      </c>
      <c r="AN14">
        <f t="shared" si="6"/>
      </c>
      <c r="AO14">
        <f t="shared" si="7"/>
      </c>
      <c r="AP14">
        <f t="shared" si="8"/>
      </c>
      <c r="AQ14">
        <f t="shared" si="9"/>
      </c>
      <c r="AR14">
        <f t="shared" si="10"/>
      </c>
      <c r="AS14">
        <f t="shared" si="11"/>
      </c>
      <c r="AT14" s="46">
        <f aca="true" t="shared" si="15" ref="AT14:AT22">IF(L14&lt;&gt;0,IF(Y14=0,L14,AY14/P14*100),"")</f>
      </c>
      <c r="AV14" s="94">
        <f t="shared" si="13"/>
      </c>
      <c r="AY14" s="94">
        <f t="shared" si="14"/>
        <v>0</v>
      </c>
    </row>
    <row r="15" spans="1:51" ht="12.75">
      <c r="A15" s="29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2"/>
      <c r="M15" s="33" t="s">
        <v>41</v>
      </c>
      <c r="N15" s="34"/>
      <c r="O15" s="35">
        <v>50</v>
      </c>
      <c r="P15" s="36"/>
      <c r="Q15" s="35">
        <v>97</v>
      </c>
      <c r="R15" s="5"/>
      <c r="S15" s="38">
        <f>T15/Q15*100*-1</f>
        <v>-16.179427835051545</v>
      </c>
      <c r="T15" s="39">
        <f>SUM(W15:AF15)/O15*100</f>
        <v>15.694044999999997</v>
      </c>
      <c r="U15" s="40"/>
      <c r="V15" s="41"/>
      <c r="W15" s="38"/>
      <c r="X15" s="42"/>
      <c r="Y15" s="42"/>
      <c r="Z15" s="42">
        <f>Z$2*15.5%*$O15/100</f>
        <v>2.3352299999999997</v>
      </c>
      <c r="AA15" s="42">
        <f>AA$2*15.5%*$O15/100</f>
        <v>0.5721825</v>
      </c>
      <c r="AB15" s="42">
        <f>AB$2*15%*$O15%</f>
        <v>1.2866249999999997</v>
      </c>
      <c r="AC15" s="42">
        <f>AC$2*6%*$O15%</f>
        <v>0.37620000000000003</v>
      </c>
      <c r="AD15" s="42">
        <f>AD$2*25%*$O15%</f>
        <v>1.36775</v>
      </c>
      <c r="AE15" s="42">
        <f>AE$2*27%*$O15%</f>
        <v>1.909035</v>
      </c>
      <c r="AF15" s="39"/>
      <c r="AI15">
        <f t="shared" si="1"/>
      </c>
      <c r="AJ15">
        <f t="shared" si="2"/>
      </c>
      <c r="AK15">
        <f t="shared" si="3"/>
      </c>
      <c r="AL15">
        <f t="shared" si="4"/>
      </c>
      <c r="AM15">
        <f t="shared" si="5"/>
      </c>
      <c r="AN15">
        <f t="shared" si="6"/>
      </c>
      <c r="AO15">
        <f t="shared" si="7"/>
      </c>
      <c r="AP15">
        <f t="shared" si="8"/>
      </c>
      <c r="AQ15">
        <f t="shared" si="9"/>
      </c>
      <c r="AR15">
        <f t="shared" si="10"/>
      </c>
      <c r="AS15">
        <f t="shared" si="11"/>
      </c>
      <c r="AT15" s="46">
        <f t="shared" si="15"/>
      </c>
      <c r="AU15" s="94">
        <f>AV15/Q15*100*-1</f>
        <v>-16.179427835051545</v>
      </c>
      <c r="AV15" s="94">
        <f>IF(T15&lt;&gt;0,AY15/O15*100,"")</f>
        <v>15.694044999999997</v>
      </c>
      <c r="AY15" s="94">
        <f t="shared" si="14"/>
        <v>7.8470225</v>
      </c>
    </row>
    <row r="16" spans="1:51" ht="12.75">
      <c r="A16" s="29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2"/>
      <c r="M16" s="33" t="s">
        <v>42</v>
      </c>
      <c r="N16" s="34"/>
      <c r="O16" s="35">
        <v>150</v>
      </c>
      <c r="P16" s="36"/>
      <c r="Q16" s="35">
        <v>97</v>
      </c>
      <c r="R16" s="43"/>
      <c r="S16" s="38">
        <f>T16/Q16*100*-1</f>
        <v>-11.80088144329897</v>
      </c>
      <c r="T16" s="39">
        <f>SUM(W16:AF16)/O16*100</f>
        <v>11.446855</v>
      </c>
      <c r="U16" s="40"/>
      <c r="V16" s="41"/>
      <c r="W16" s="38"/>
      <c r="X16" s="42"/>
      <c r="Y16" s="42"/>
      <c r="Z16" s="42">
        <f>Z$2*18.3%*$O16/100</f>
        <v>8.271233999999998</v>
      </c>
      <c r="AA16" s="42">
        <f>AA$2*18.3%*$O16/100</f>
        <v>2.0266335</v>
      </c>
      <c r="AB16" s="42">
        <f>AB$2*3%*$O16%</f>
        <v>0.7719749999999999</v>
      </c>
      <c r="AC16" s="42">
        <f>AC$2*8%*$O16%</f>
        <v>1.5048000000000001</v>
      </c>
      <c r="AD16" s="42">
        <f>AD$2*28%*$O16%</f>
        <v>4.59564</v>
      </c>
      <c r="AE16" s="42">
        <f>AE$2*0%*$O16%</f>
        <v>0</v>
      </c>
      <c r="AF16" s="39"/>
      <c r="AI16">
        <f t="shared" si="1"/>
      </c>
      <c r="AJ16">
        <f t="shared" si="2"/>
      </c>
      <c r="AK16">
        <f t="shared" si="3"/>
      </c>
      <c r="AL16">
        <f t="shared" si="4"/>
      </c>
      <c r="AM16">
        <f t="shared" si="5"/>
      </c>
      <c r="AN16">
        <f t="shared" si="6"/>
      </c>
      <c r="AO16">
        <f t="shared" si="7"/>
      </c>
      <c r="AP16">
        <f t="shared" si="8"/>
      </c>
      <c r="AQ16">
        <f t="shared" si="9"/>
      </c>
      <c r="AR16">
        <f t="shared" si="10"/>
      </c>
      <c r="AS16">
        <f t="shared" si="11"/>
      </c>
      <c r="AT16" s="46">
        <f t="shared" si="15"/>
      </c>
      <c r="AU16" s="94">
        <f>AV16/Q16*100*-1</f>
        <v>-11.80088144329897</v>
      </c>
      <c r="AV16" s="94">
        <f>IF(T16&lt;&gt;0,AY16/O16*100,"")</f>
        <v>11.446855</v>
      </c>
      <c r="AY16" s="94">
        <f t="shared" si="14"/>
        <v>17.1702825</v>
      </c>
    </row>
    <row r="17" spans="1:51" ht="12.75">
      <c r="A17" s="29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2"/>
      <c r="M17" s="33" t="s">
        <v>43</v>
      </c>
      <c r="N17" s="34"/>
      <c r="O17" s="35">
        <v>85</v>
      </c>
      <c r="P17" s="36"/>
      <c r="Q17" s="35">
        <v>97</v>
      </c>
      <c r="S17" s="38">
        <f>T17/Q17*100*-1</f>
        <v>-61.17244845360822</v>
      </c>
      <c r="T17" s="39">
        <f>SUM(W17:AF17)/O17*100</f>
        <v>59.33727499999998</v>
      </c>
      <c r="U17" s="40"/>
      <c r="V17" s="41"/>
      <c r="W17" s="38"/>
      <c r="X17" s="42"/>
      <c r="Y17" s="42"/>
      <c r="Z17" s="42">
        <f>Z$2*50.7%*$O17%</f>
        <v>12.985385399999998</v>
      </c>
      <c r="AA17" s="42">
        <f>AA$2*50.7%*$O17%</f>
        <v>3.18170385</v>
      </c>
      <c r="AB17" s="42">
        <f>AB$2*82%*$O17%</f>
        <v>11.957034999999996</v>
      </c>
      <c r="AC17" s="42">
        <f>AC$2*86%*$O17%</f>
        <v>9.166739999999999</v>
      </c>
      <c r="AD17" s="42">
        <f>AD$2*47%*$O17%</f>
        <v>4.371328999999999</v>
      </c>
      <c r="AE17" s="42">
        <f>AE$2*73%*$O17%</f>
        <v>8.774490499999999</v>
      </c>
      <c r="AF17" s="39"/>
      <c r="AI17">
        <f t="shared" si="1"/>
      </c>
      <c r="AJ17">
        <f t="shared" si="2"/>
      </c>
      <c r="AK17">
        <f t="shared" si="3"/>
      </c>
      <c r="AL17">
        <f t="shared" si="4"/>
      </c>
      <c r="AM17">
        <f t="shared" si="5"/>
      </c>
      <c r="AN17">
        <f t="shared" si="6"/>
      </c>
      <c r="AO17">
        <f t="shared" si="7"/>
      </c>
      <c r="AP17">
        <f t="shared" si="8"/>
      </c>
      <c r="AQ17">
        <f t="shared" si="9"/>
      </c>
      <c r="AR17">
        <f t="shared" si="10"/>
      </c>
      <c r="AS17">
        <f t="shared" si="11"/>
      </c>
      <c r="AT17" s="46">
        <f t="shared" si="15"/>
      </c>
      <c r="AU17" s="94">
        <f>AV17/Q17*100*-1</f>
        <v>-61.17244845360822</v>
      </c>
      <c r="AV17" s="94">
        <f>IF(T17&lt;&gt;0,AY17/O17*100,"")</f>
        <v>59.33727499999998</v>
      </c>
      <c r="AY17" s="94">
        <f t="shared" si="14"/>
        <v>50.436683749999986</v>
      </c>
    </row>
    <row r="18" spans="1:51" ht="12.75">
      <c r="A18" s="29"/>
      <c r="B18" s="30"/>
      <c r="C18" s="30"/>
      <c r="D18" s="31"/>
      <c r="E18" s="31"/>
      <c r="F18" s="31"/>
      <c r="G18" s="31">
        <f>1.08+0.54</f>
        <v>1.62</v>
      </c>
      <c r="H18" s="31"/>
      <c r="I18" s="31"/>
      <c r="J18" s="31"/>
      <c r="K18" s="31"/>
      <c r="L18" s="32">
        <f>SUM(A18:K18)</f>
        <v>1.62</v>
      </c>
      <c r="M18" s="33" t="s">
        <v>44</v>
      </c>
      <c r="N18" s="34"/>
      <c r="O18" s="35"/>
      <c r="P18" s="36">
        <v>70</v>
      </c>
      <c r="Q18" s="35"/>
      <c r="R18" s="37"/>
      <c r="S18" s="38"/>
      <c r="T18" s="39"/>
      <c r="U18" s="40"/>
      <c r="V18" s="41"/>
      <c r="W18" s="38">
        <f>L18*P18/100*0.175</f>
        <v>0.19845000000000002</v>
      </c>
      <c r="X18" s="42">
        <f>L18*P18/100*0.825</f>
        <v>0.93555</v>
      </c>
      <c r="Y18" s="42">
        <f>X18*$Y$40</f>
        <v>0.9345889830508475</v>
      </c>
      <c r="Z18" s="42"/>
      <c r="AA18" s="42"/>
      <c r="AB18" s="42"/>
      <c r="AC18" s="42"/>
      <c r="AD18" s="41"/>
      <c r="AE18" s="41"/>
      <c r="AF18" s="39"/>
      <c r="AI18">
        <f t="shared" si="1"/>
      </c>
      <c r="AJ18">
        <f t="shared" si="2"/>
      </c>
      <c r="AK18">
        <f t="shared" si="3"/>
      </c>
      <c r="AL18">
        <f t="shared" si="4"/>
      </c>
      <c r="AM18">
        <f t="shared" si="5"/>
      </c>
      <c r="AN18">
        <f t="shared" si="6"/>
      </c>
      <c r="AO18">
        <f t="shared" si="7"/>
        <v>1.6186271186440677</v>
      </c>
      <c r="AP18">
        <f t="shared" si="8"/>
      </c>
      <c r="AQ18">
        <f t="shared" si="9"/>
      </c>
      <c r="AR18">
        <f t="shared" si="10"/>
      </c>
      <c r="AS18">
        <f t="shared" si="11"/>
      </c>
      <c r="AT18" s="46">
        <f t="shared" si="15"/>
        <v>1.6186271186440677</v>
      </c>
      <c r="AV18" s="94">
        <f aca="true" t="shared" si="16" ref="AV18:AV38">IF(T18&lt;&gt;0,AY18/P18*100,"")</f>
      </c>
      <c r="AY18" s="94">
        <f t="shared" si="14"/>
        <v>1.1330389830508474</v>
      </c>
    </row>
    <row r="19" spans="1:51" ht="12.75">
      <c r="A19" s="29"/>
      <c r="B19" s="30"/>
      <c r="C19" s="30">
        <v>132.14</v>
      </c>
      <c r="D19" s="31"/>
      <c r="E19" s="31"/>
      <c r="F19" s="31"/>
      <c r="G19" s="31"/>
      <c r="H19" s="31"/>
      <c r="I19" s="31"/>
      <c r="J19" s="31"/>
      <c r="K19" s="31"/>
      <c r="L19" s="32">
        <f>SUM(A19:K19)</f>
        <v>132.14</v>
      </c>
      <c r="M19" s="33" t="s">
        <v>45</v>
      </c>
      <c r="N19" s="34"/>
      <c r="O19" s="35"/>
      <c r="P19" s="36">
        <v>70</v>
      </c>
      <c r="Q19" s="35"/>
      <c r="R19" s="37"/>
      <c r="S19" s="38"/>
      <c r="T19" s="39"/>
      <c r="U19" s="40"/>
      <c r="V19" s="41"/>
      <c r="W19" s="38">
        <f>L19*P19/100*0.175</f>
        <v>16.18715</v>
      </c>
      <c r="X19" s="42">
        <f>L19*P19/100*0.825</f>
        <v>76.31084999999999</v>
      </c>
      <c r="Y19" s="42">
        <f>X19*$Y$40</f>
        <v>76.23246186440677</v>
      </c>
      <c r="Z19" s="42"/>
      <c r="AA19" s="42"/>
      <c r="AB19" s="42"/>
      <c r="AC19" s="42"/>
      <c r="AD19" s="41"/>
      <c r="AE19" s="41"/>
      <c r="AF19" s="39"/>
      <c r="AI19">
        <f t="shared" si="1"/>
      </c>
      <c r="AJ19">
        <f t="shared" si="2"/>
      </c>
      <c r="AK19">
        <f t="shared" si="3"/>
        <v>132.02801694915254</v>
      </c>
      <c r="AL19">
        <f t="shared" si="4"/>
      </c>
      <c r="AM19">
        <f t="shared" si="5"/>
      </c>
      <c r="AN19">
        <f t="shared" si="6"/>
      </c>
      <c r="AO19">
        <f t="shared" si="7"/>
      </c>
      <c r="AP19">
        <f t="shared" si="8"/>
      </c>
      <c r="AQ19">
        <f t="shared" si="9"/>
      </c>
      <c r="AR19">
        <f t="shared" si="10"/>
      </c>
      <c r="AS19">
        <f t="shared" si="11"/>
      </c>
      <c r="AT19" s="46">
        <f t="shared" si="15"/>
        <v>132.02801694915254</v>
      </c>
      <c r="AV19" s="94">
        <f t="shared" si="16"/>
      </c>
      <c r="AY19" s="94">
        <f t="shared" si="14"/>
        <v>92.41961186440678</v>
      </c>
    </row>
    <row r="20" spans="1:51" ht="12.75">
      <c r="A20" s="29"/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33" t="s">
        <v>46</v>
      </c>
      <c r="N20" s="34"/>
      <c r="O20" s="35"/>
      <c r="P20" s="36">
        <v>250</v>
      </c>
      <c r="Q20" s="35">
        <v>97</v>
      </c>
      <c r="S20" s="38">
        <f>T20/Q20*100*-1</f>
        <v>-0.11237113402061856</v>
      </c>
      <c r="T20" s="39">
        <f>T2</f>
        <v>0.109</v>
      </c>
      <c r="U20" s="40"/>
      <c r="V20" s="39"/>
      <c r="W20" s="38">
        <f>T20*P20/100*0.175</f>
        <v>0.0476875</v>
      </c>
      <c r="X20" s="42">
        <f>T20*P20/100*0.825</f>
        <v>0.2248125</v>
      </c>
      <c r="Y20" s="42">
        <f>X20*$Y$40</f>
        <v>0.22458156779661018</v>
      </c>
      <c r="Z20" s="42"/>
      <c r="AA20" s="42"/>
      <c r="AB20" s="42"/>
      <c r="AC20" s="42"/>
      <c r="AD20" s="41"/>
      <c r="AE20" s="41"/>
      <c r="AF20" s="39"/>
      <c r="AI20">
        <f t="shared" si="1"/>
      </c>
      <c r="AJ20">
        <f t="shared" si="2"/>
      </c>
      <c r="AK20">
        <f t="shared" si="3"/>
      </c>
      <c r="AL20">
        <f t="shared" si="4"/>
      </c>
      <c r="AM20">
        <f t="shared" si="5"/>
      </c>
      <c r="AN20">
        <f t="shared" si="6"/>
      </c>
      <c r="AO20">
        <f t="shared" si="7"/>
      </c>
      <c r="AP20">
        <f t="shared" si="8"/>
      </c>
      <c r="AQ20">
        <f t="shared" si="9"/>
      </c>
      <c r="AR20">
        <f t="shared" si="10"/>
      </c>
      <c r="AS20">
        <f t="shared" si="11"/>
      </c>
      <c r="AT20" s="46">
        <f t="shared" si="15"/>
      </c>
      <c r="AU20" s="94">
        <f>AV20/Q20*100*-1</f>
        <v>-0.11227590424602481</v>
      </c>
      <c r="AV20" s="94">
        <f t="shared" si="16"/>
        <v>0.10890762711864407</v>
      </c>
      <c r="AY20" s="94">
        <f t="shared" si="14"/>
        <v>0.2722690677966102</v>
      </c>
    </row>
    <row r="21" spans="1:51" ht="12.75">
      <c r="A21" s="29"/>
      <c r="B21" s="30"/>
      <c r="C21" s="30"/>
      <c r="D21" s="31"/>
      <c r="E21" s="31"/>
      <c r="F21" s="31">
        <f>5.5</f>
        <v>5.5</v>
      </c>
      <c r="G21" s="31"/>
      <c r="H21" s="31"/>
      <c r="I21" s="31"/>
      <c r="J21" s="31"/>
      <c r="K21" s="31"/>
      <c r="L21" s="32">
        <f>SUM(A21:K21)</f>
        <v>5.5</v>
      </c>
      <c r="M21" s="33" t="s">
        <v>47</v>
      </c>
      <c r="N21" s="34"/>
      <c r="O21" s="35"/>
      <c r="P21" s="36">
        <v>60</v>
      </c>
      <c r="Q21" s="35"/>
      <c r="R21" s="37"/>
      <c r="S21" s="38"/>
      <c r="T21" s="39"/>
      <c r="U21" s="40"/>
      <c r="V21" s="41"/>
      <c r="W21" s="38">
        <f>L21*P21/100*0.175</f>
        <v>0.5774999999999999</v>
      </c>
      <c r="X21" s="42">
        <f>L21*P21/100*0.825</f>
        <v>2.7224999999999997</v>
      </c>
      <c r="Y21" s="42">
        <f>X21*$Y$40</f>
        <v>2.7197033898305083</v>
      </c>
      <c r="Z21" s="42"/>
      <c r="AA21" s="42"/>
      <c r="AB21" s="42"/>
      <c r="AC21" s="42"/>
      <c r="AD21" s="41"/>
      <c r="AE21" s="41"/>
      <c r="AF21" s="39"/>
      <c r="AI21">
        <f t="shared" si="1"/>
      </c>
      <c r="AJ21">
        <f t="shared" si="2"/>
      </c>
      <c r="AK21">
        <f t="shared" si="3"/>
      </c>
      <c r="AL21">
        <f t="shared" si="4"/>
      </c>
      <c r="AM21">
        <f t="shared" si="5"/>
      </c>
      <c r="AN21">
        <f t="shared" si="6"/>
        <v>5.495338983050846</v>
      </c>
      <c r="AO21">
        <f t="shared" si="7"/>
      </c>
      <c r="AP21">
        <f t="shared" si="8"/>
      </c>
      <c r="AQ21">
        <f t="shared" si="9"/>
      </c>
      <c r="AR21">
        <f t="shared" si="10"/>
      </c>
      <c r="AS21">
        <f t="shared" si="11"/>
      </c>
      <c r="AT21" s="46">
        <f t="shared" si="15"/>
        <v>5.495338983050846</v>
      </c>
      <c r="AV21" s="94">
        <f t="shared" si="16"/>
      </c>
      <c r="AY21" s="94">
        <f t="shared" si="14"/>
        <v>3.297203389830508</v>
      </c>
    </row>
    <row r="22" spans="1:51" ht="12.75">
      <c r="A22" s="29"/>
      <c r="B22" s="30"/>
      <c r="C22" s="30"/>
      <c r="D22" s="31"/>
      <c r="E22" s="31"/>
      <c r="F22" s="31"/>
      <c r="G22" s="31"/>
      <c r="H22" s="31">
        <f>5.5+0.04</f>
        <v>5.54</v>
      </c>
      <c r="I22" s="31"/>
      <c r="J22" s="31"/>
      <c r="K22" s="31"/>
      <c r="L22" s="32">
        <f>SUM(A22:K22)</f>
        <v>5.54</v>
      </c>
      <c r="M22" s="33" t="s">
        <v>48</v>
      </c>
      <c r="N22" s="34"/>
      <c r="O22" s="35"/>
      <c r="P22" s="36">
        <v>60</v>
      </c>
      <c r="Q22" s="35"/>
      <c r="R22" s="37"/>
      <c r="S22" s="38"/>
      <c r="T22" s="39"/>
      <c r="U22" s="40"/>
      <c r="V22" s="41"/>
      <c r="W22" s="38">
        <f>L22*P22/100*0.175</f>
        <v>0.5816999999999999</v>
      </c>
      <c r="X22" s="42">
        <f>L22*P22/100*0.825</f>
        <v>2.7422999999999997</v>
      </c>
      <c r="Y22" s="42">
        <f>X22*$Y$40</f>
        <v>2.7394830508474577</v>
      </c>
      <c r="Z22" s="42"/>
      <c r="AA22" s="42"/>
      <c r="AB22" s="42"/>
      <c r="AC22" s="42"/>
      <c r="AD22" s="41"/>
      <c r="AE22" s="41"/>
      <c r="AF22" s="39"/>
      <c r="AI22">
        <f t="shared" si="1"/>
      </c>
      <c r="AJ22">
        <f t="shared" si="2"/>
      </c>
      <c r="AK22">
        <f t="shared" si="3"/>
      </c>
      <c r="AL22">
        <f t="shared" si="4"/>
      </c>
      <c r="AM22">
        <f t="shared" si="5"/>
      </c>
      <c r="AN22">
        <f t="shared" si="6"/>
      </c>
      <c r="AO22">
        <f t="shared" si="7"/>
      </c>
      <c r="AP22">
        <f t="shared" si="8"/>
        <v>5.5353050847457625</v>
      </c>
      <c r="AQ22">
        <f t="shared" si="9"/>
      </c>
      <c r="AR22">
        <f t="shared" si="10"/>
      </c>
      <c r="AS22">
        <f t="shared" si="11"/>
      </c>
      <c r="AT22" s="46">
        <f t="shared" si="15"/>
        <v>5.5353050847457625</v>
      </c>
      <c r="AV22" s="94">
        <f t="shared" si="16"/>
      </c>
      <c r="AY22" s="94">
        <f t="shared" si="14"/>
        <v>3.3211830508474574</v>
      </c>
    </row>
    <row r="23" spans="1:51" ht="12.75">
      <c r="A23" s="44"/>
      <c r="B23" s="45"/>
      <c r="C23" s="46"/>
      <c r="D23" s="47"/>
      <c r="E23" s="47"/>
      <c r="F23" s="45">
        <f>10996*0.0036*0.98/0.84</f>
        <v>46.1832</v>
      </c>
      <c r="G23" s="47"/>
      <c r="H23" s="47"/>
      <c r="I23" s="47"/>
      <c r="J23" s="47"/>
      <c r="K23" s="47"/>
      <c r="L23" s="32">
        <f>SUM(A23:K23)</f>
        <v>46.1832</v>
      </c>
      <c r="M23" s="48" t="s">
        <v>49</v>
      </c>
      <c r="N23" s="49"/>
      <c r="O23" s="50"/>
      <c r="P23" s="51">
        <v>84</v>
      </c>
      <c r="Q23" s="50"/>
      <c r="R23" s="52"/>
      <c r="S23" s="53"/>
      <c r="T23" s="54"/>
      <c r="U23" s="55">
        <f>L23*P23/100</f>
        <v>38.793887999999995</v>
      </c>
      <c r="V23" s="56"/>
      <c r="W23" s="53"/>
      <c r="X23" s="57"/>
      <c r="Y23" s="57"/>
      <c r="Z23" s="57"/>
      <c r="AA23" s="57"/>
      <c r="AB23" s="57"/>
      <c r="AC23" s="57"/>
      <c r="AD23" s="56"/>
      <c r="AE23" s="56"/>
      <c r="AF23" s="54"/>
      <c r="AI23">
        <f t="shared" si="1"/>
      </c>
      <c r="AJ23">
        <f t="shared" si="2"/>
      </c>
      <c r="AK23">
        <f t="shared" si="3"/>
      </c>
      <c r="AL23">
        <f t="shared" si="4"/>
      </c>
      <c r="AM23">
        <f t="shared" si="5"/>
      </c>
      <c r="AN23">
        <f t="shared" si="6"/>
        <v>46.144061694915244</v>
      </c>
      <c r="AO23">
        <f t="shared" si="7"/>
      </c>
      <c r="AP23">
        <f t="shared" si="8"/>
      </c>
      <c r="AQ23">
        <f t="shared" si="9"/>
      </c>
      <c r="AR23">
        <f t="shared" si="10"/>
      </c>
      <c r="AS23">
        <f t="shared" si="11"/>
      </c>
      <c r="AT23">
        <f>AW23/P23*100</f>
        <v>46.144061694915244</v>
      </c>
      <c r="AV23" s="94">
        <f t="shared" si="16"/>
      </c>
      <c r="AW23">
        <f>AW25-AW24</f>
        <v>38.76101182372881</v>
      </c>
      <c r="AY23" s="94">
        <f t="shared" si="14"/>
        <v>0</v>
      </c>
    </row>
    <row r="24" spans="1:51" ht="12.75">
      <c r="A24" s="44"/>
      <c r="B24" s="45"/>
      <c r="C24" s="45">
        <f>10996*0.02/0.95*0.0036</f>
        <v>0.833381052631579</v>
      </c>
      <c r="D24" s="47"/>
      <c r="E24" s="47"/>
      <c r="F24" s="47"/>
      <c r="G24" s="47"/>
      <c r="H24" s="47"/>
      <c r="I24" s="47"/>
      <c r="J24" s="47"/>
      <c r="K24" s="47"/>
      <c r="L24" s="32">
        <f>SUM(A24:K24)</f>
        <v>0.833381052631579</v>
      </c>
      <c r="M24" s="48" t="s">
        <v>50</v>
      </c>
      <c r="N24" s="49"/>
      <c r="O24" s="50"/>
      <c r="P24" s="51">
        <v>95</v>
      </c>
      <c r="Q24" s="50"/>
      <c r="R24" s="52"/>
      <c r="S24" s="53"/>
      <c r="T24" s="54"/>
      <c r="U24" s="55">
        <f>L24*P24/100</f>
        <v>0.7917120000000001</v>
      </c>
      <c r="V24" s="56"/>
      <c r="W24" s="53"/>
      <c r="X24" s="57"/>
      <c r="Y24" s="57"/>
      <c r="Z24" s="57"/>
      <c r="AA24" s="57"/>
      <c r="AB24" s="57"/>
      <c r="AC24" s="57"/>
      <c r="AD24" s="56"/>
      <c r="AE24" s="56"/>
      <c r="AF24" s="54"/>
      <c r="AI24">
        <f t="shared" si="1"/>
      </c>
      <c r="AJ24">
        <f t="shared" si="2"/>
      </c>
      <c r="AK24">
        <f t="shared" si="3"/>
        <v>0.83267479750223</v>
      </c>
      <c r="AL24">
        <f t="shared" si="4"/>
      </c>
      <c r="AM24">
        <f t="shared" si="5"/>
      </c>
      <c r="AN24">
        <f t="shared" si="6"/>
      </c>
      <c r="AO24">
        <f t="shared" si="7"/>
      </c>
      <c r="AP24">
        <f t="shared" si="8"/>
      </c>
      <c r="AQ24">
        <f t="shared" si="9"/>
      </c>
      <c r="AR24">
        <f t="shared" si="10"/>
      </c>
      <c r="AS24">
        <f t="shared" si="11"/>
      </c>
      <c r="AT24">
        <f>AW24/P24*100</f>
        <v>0.83267479750223</v>
      </c>
      <c r="AV24" s="94">
        <f t="shared" si="16"/>
      </c>
      <c r="AW24">
        <f>AW25*0.02</f>
        <v>0.7910410576271185</v>
      </c>
      <c r="AY24" s="94">
        <f t="shared" si="14"/>
        <v>0</v>
      </c>
    </row>
    <row r="25" spans="1:51" ht="12.75">
      <c r="A25" s="44"/>
      <c r="B25" s="45"/>
      <c r="C25" s="45"/>
      <c r="D25" s="47"/>
      <c r="E25" s="47"/>
      <c r="F25" s="47"/>
      <c r="G25" s="47"/>
      <c r="H25" s="47"/>
      <c r="I25" s="47"/>
      <c r="J25" s="47"/>
      <c r="K25" s="47"/>
      <c r="L25" s="32"/>
      <c r="M25" s="48" t="s">
        <v>51</v>
      </c>
      <c r="N25" s="49"/>
      <c r="O25" s="50"/>
      <c r="P25" s="51"/>
      <c r="Q25" s="35"/>
      <c r="R25" s="50">
        <v>80</v>
      </c>
      <c r="S25" s="53"/>
      <c r="T25" s="54"/>
      <c r="U25" s="55">
        <f>-V25/(R25/100)</f>
        <v>-39.58559999999999</v>
      </c>
      <c r="V25" s="56">
        <f>SUM(U23:U24)*R25/100</f>
        <v>31.668479999999995</v>
      </c>
      <c r="W25" s="53">
        <f>V25*0.175</f>
        <v>5.5419839999999985</v>
      </c>
      <c r="X25" s="57">
        <f>V25-W25</f>
        <v>26.126495999999996</v>
      </c>
      <c r="Y25" s="42">
        <f>X25*$Y$40</f>
        <v>26.09965830508474</v>
      </c>
      <c r="Z25" s="57"/>
      <c r="AA25" s="57"/>
      <c r="AB25" s="57"/>
      <c r="AC25" s="57"/>
      <c r="AD25" s="56"/>
      <c r="AE25" s="56"/>
      <c r="AF25" s="54"/>
      <c r="AI25">
        <f t="shared" si="1"/>
      </c>
      <c r="AJ25">
        <f t="shared" si="2"/>
      </c>
      <c r="AK25">
        <f t="shared" si="3"/>
      </c>
      <c r="AL25">
        <f t="shared" si="4"/>
      </c>
      <c r="AM25">
        <f t="shared" si="5"/>
      </c>
      <c r="AN25">
        <f t="shared" si="6"/>
      </c>
      <c r="AO25">
        <f t="shared" si="7"/>
      </c>
      <c r="AP25">
        <f t="shared" si="8"/>
      </c>
      <c r="AQ25">
        <f t="shared" si="9"/>
      </c>
      <c r="AR25">
        <f t="shared" si="10"/>
      </c>
      <c r="AS25">
        <f t="shared" si="11"/>
      </c>
      <c r="AV25" s="94">
        <f t="shared" si="16"/>
      </c>
      <c r="AW25">
        <f>AX25/R25*100</f>
        <v>39.55205288135593</v>
      </c>
      <c r="AX25" s="46">
        <f>AY25</f>
        <v>31.64164230508474</v>
      </c>
      <c r="AY25" s="94">
        <f t="shared" si="14"/>
        <v>31.64164230508474</v>
      </c>
    </row>
    <row r="26" spans="1:51" ht="12.75">
      <c r="A26" s="44"/>
      <c r="B26" s="45"/>
      <c r="C26" s="45"/>
      <c r="D26" s="47"/>
      <c r="E26" s="47"/>
      <c r="F26" s="47"/>
      <c r="G26" s="47"/>
      <c r="H26" s="47"/>
      <c r="I26" s="47"/>
      <c r="J26" s="47"/>
      <c r="K26" s="47"/>
      <c r="L26" s="32">
        <f>SUM(A26:K26)</f>
        <v>0</v>
      </c>
      <c r="M26" s="48" t="s">
        <v>52</v>
      </c>
      <c r="N26" s="49"/>
      <c r="O26" s="50"/>
      <c r="P26" s="51">
        <v>100</v>
      </c>
      <c r="Q26" s="50"/>
      <c r="R26" s="52"/>
      <c r="S26" s="53"/>
      <c r="T26" s="54"/>
      <c r="U26" s="55">
        <f>L26*P26/100</f>
        <v>0</v>
      </c>
      <c r="V26" s="56"/>
      <c r="W26" s="53"/>
      <c r="X26" s="57"/>
      <c r="Y26" s="57"/>
      <c r="Z26" s="57"/>
      <c r="AA26" s="57"/>
      <c r="AB26" s="57"/>
      <c r="AC26" s="57"/>
      <c r="AD26" s="56"/>
      <c r="AE26" s="56"/>
      <c r="AF26" s="54"/>
      <c r="AI26">
        <f t="shared" si="1"/>
      </c>
      <c r="AJ26">
        <f t="shared" si="2"/>
      </c>
      <c r="AK26">
        <f t="shared" si="3"/>
      </c>
      <c r="AL26">
        <f t="shared" si="4"/>
      </c>
      <c r="AM26">
        <f t="shared" si="5"/>
      </c>
      <c r="AN26">
        <f t="shared" si="6"/>
      </c>
      <c r="AO26">
        <f t="shared" si="7"/>
      </c>
      <c r="AP26">
        <f t="shared" si="8"/>
      </c>
      <c r="AQ26">
        <f t="shared" si="9"/>
      </c>
      <c r="AR26">
        <f t="shared" si="10"/>
      </c>
      <c r="AS26">
        <f t="shared" si="11"/>
      </c>
      <c r="AT26" s="46">
        <f aca="true" t="shared" si="17" ref="AT26:AT32">IF(L26&lt;&gt;0,IF(Y26=0,L26,AY26/P26*100),"")</f>
      </c>
      <c r="AV26" s="94">
        <f t="shared" si="16"/>
      </c>
      <c r="AY26" s="94">
        <f t="shared" si="14"/>
        <v>0</v>
      </c>
    </row>
    <row r="27" spans="1:51" ht="12.75">
      <c r="A27" s="44"/>
      <c r="B27" s="45"/>
      <c r="C27" s="45"/>
      <c r="D27" s="47"/>
      <c r="E27" s="47"/>
      <c r="F27" s="47"/>
      <c r="G27" s="47"/>
      <c r="H27" s="47"/>
      <c r="I27" s="47"/>
      <c r="J27" s="47"/>
      <c r="K27" s="47"/>
      <c r="L27" s="32">
        <f>SUM(A27:K27)</f>
        <v>0</v>
      </c>
      <c r="M27" s="48" t="s">
        <v>53</v>
      </c>
      <c r="N27" s="49"/>
      <c r="O27" s="50"/>
      <c r="P27" s="51">
        <v>100</v>
      </c>
      <c r="Q27" s="50"/>
      <c r="R27" s="52"/>
      <c r="S27" s="53"/>
      <c r="T27" s="54"/>
      <c r="U27" s="55">
        <f>L27*P27/100</f>
        <v>0</v>
      </c>
      <c r="V27" s="56"/>
      <c r="W27" s="53"/>
      <c r="X27" s="57"/>
      <c r="Y27" s="57"/>
      <c r="Z27" s="57"/>
      <c r="AA27" s="57"/>
      <c r="AB27" s="57"/>
      <c r="AC27" s="57"/>
      <c r="AD27" s="56"/>
      <c r="AE27" s="56"/>
      <c r="AF27" s="54"/>
      <c r="AI27">
        <f t="shared" si="1"/>
      </c>
      <c r="AJ27">
        <f t="shared" si="2"/>
      </c>
      <c r="AK27">
        <f t="shared" si="3"/>
      </c>
      <c r="AL27">
        <f t="shared" si="4"/>
      </c>
      <c r="AM27">
        <f t="shared" si="5"/>
      </c>
      <c r="AN27">
        <f t="shared" si="6"/>
      </c>
      <c r="AO27">
        <f t="shared" si="7"/>
      </c>
      <c r="AP27">
        <f t="shared" si="8"/>
      </c>
      <c r="AQ27">
        <f t="shared" si="9"/>
      </c>
      <c r="AR27">
        <f t="shared" si="10"/>
      </c>
      <c r="AS27">
        <f t="shared" si="11"/>
      </c>
      <c r="AT27" s="46">
        <f t="shared" si="17"/>
      </c>
      <c r="AV27" s="94">
        <f t="shared" si="16"/>
      </c>
      <c r="AY27" s="94">
        <f t="shared" si="14"/>
        <v>0</v>
      </c>
    </row>
    <row r="28" spans="1:51" ht="12.75">
      <c r="A28" s="44"/>
      <c r="B28" s="45"/>
      <c r="C28" s="45"/>
      <c r="D28" s="47"/>
      <c r="E28" s="47"/>
      <c r="F28" s="47"/>
      <c r="G28" s="47"/>
      <c r="H28" s="47"/>
      <c r="I28" s="47"/>
      <c r="J28" s="47"/>
      <c r="K28" s="47"/>
      <c r="L28" s="32">
        <f>SUM(A28:K28)</f>
        <v>0</v>
      </c>
      <c r="M28" s="48" t="s">
        <v>54</v>
      </c>
      <c r="N28" s="49"/>
      <c r="O28" s="50"/>
      <c r="P28" s="51">
        <v>90</v>
      </c>
      <c r="Q28" s="50"/>
      <c r="R28" s="52"/>
      <c r="S28" s="53"/>
      <c r="T28" s="54"/>
      <c r="U28" s="55">
        <f>L28*P28/100</f>
        <v>0</v>
      </c>
      <c r="V28" s="56"/>
      <c r="W28" s="53"/>
      <c r="X28" s="57"/>
      <c r="Y28" s="57"/>
      <c r="Z28" s="57"/>
      <c r="AA28" s="57"/>
      <c r="AB28" s="57"/>
      <c r="AC28" s="57"/>
      <c r="AD28" s="56"/>
      <c r="AE28" s="56"/>
      <c r="AF28" s="54"/>
      <c r="AI28">
        <f t="shared" si="1"/>
      </c>
      <c r="AJ28">
        <f t="shared" si="2"/>
      </c>
      <c r="AK28">
        <f t="shared" si="3"/>
      </c>
      <c r="AL28">
        <f t="shared" si="4"/>
      </c>
      <c r="AM28">
        <f t="shared" si="5"/>
      </c>
      <c r="AN28">
        <f t="shared" si="6"/>
      </c>
      <c r="AO28">
        <f t="shared" si="7"/>
      </c>
      <c r="AP28">
        <f t="shared" si="8"/>
      </c>
      <c r="AQ28">
        <f t="shared" si="9"/>
      </c>
      <c r="AR28">
        <f t="shared" si="10"/>
      </c>
      <c r="AS28">
        <f t="shared" si="11"/>
      </c>
      <c r="AT28" s="46">
        <f t="shared" si="17"/>
      </c>
      <c r="AV28" s="94">
        <f t="shared" si="16"/>
      </c>
      <c r="AY28" s="94">
        <f t="shared" si="14"/>
        <v>0</v>
      </c>
    </row>
    <row r="29" spans="1:51" ht="12.75">
      <c r="A29" s="44"/>
      <c r="B29" s="45"/>
      <c r="C29" s="45"/>
      <c r="D29" s="47"/>
      <c r="E29" s="47"/>
      <c r="F29" s="47"/>
      <c r="G29" s="47"/>
      <c r="H29" s="47"/>
      <c r="I29" s="47"/>
      <c r="J29" s="47"/>
      <c r="K29" s="47"/>
      <c r="L29" s="32"/>
      <c r="M29" s="48" t="s">
        <v>55</v>
      </c>
      <c r="N29" s="49"/>
      <c r="O29" s="50"/>
      <c r="P29" s="51"/>
      <c r="Q29" s="50"/>
      <c r="R29" s="52">
        <v>70</v>
      </c>
      <c r="S29" s="53"/>
      <c r="T29" s="54"/>
      <c r="U29" s="55"/>
      <c r="V29" s="56"/>
      <c r="W29" s="53"/>
      <c r="X29" s="57"/>
      <c r="Y29" s="57"/>
      <c r="Z29" s="57"/>
      <c r="AA29" s="57"/>
      <c r="AB29" s="57"/>
      <c r="AC29" s="57"/>
      <c r="AD29" s="56"/>
      <c r="AE29" s="56"/>
      <c r="AF29" s="54"/>
      <c r="AI29">
        <f t="shared" si="1"/>
      </c>
      <c r="AJ29">
        <f t="shared" si="2"/>
      </c>
      <c r="AK29">
        <f t="shared" si="3"/>
      </c>
      <c r="AL29">
        <f t="shared" si="4"/>
      </c>
      <c r="AM29">
        <f t="shared" si="5"/>
      </c>
      <c r="AN29">
        <f t="shared" si="6"/>
      </c>
      <c r="AO29">
        <f t="shared" si="7"/>
      </c>
      <c r="AP29">
        <f t="shared" si="8"/>
      </c>
      <c r="AQ29">
        <f t="shared" si="9"/>
      </c>
      <c r="AR29">
        <f t="shared" si="10"/>
      </c>
      <c r="AS29">
        <f t="shared" si="11"/>
      </c>
      <c r="AT29" s="46">
        <f t="shared" si="17"/>
      </c>
      <c r="AV29" s="94">
        <f t="shared" si="16"/>
      </c>
      <c r="AY29" s="94">
        <f t="shared" si="14"/>
        <v>0</v>
      </c>
    </row>
    <row r="30" spans="1:51" ht="12.75">
      <c r="A30" s="44"/>
      <c r="B30" s="45"/>
      <c r="C30" s="45"/>
      <c r="D30" s="47"/>
      <c r="E30" s="47"/>
      <c r="F30" s="47"/>
      <c r="G30" s="47"/>
      <c r="H30" s="47"/>
      <c r="I30" s="47"/>
      <c r="J30" s="47"/>
      <c r="K30" s="47"/>
      <c r="L30" s="32">
        <f>SUM(A30:K30)</f>
        <v>0</v>
      </c>
      <c r="M30" s="48" t="s">
        <v>56</v>
      </c>
      <c r="N30" s="49"/>
      <c r="O30" s="50"/>
      <c r="P30" s="51"/>
      <c r="Q30" s="50"/>
      <c r="R30" s="52"/>
      <c r="S30" s="53"/>
      <c r="T30" s="54"/>
      <c r="U30" s="55"/>
      <c r="V30" s="56"/>
      <c r="W30" s="53"/>
      <c r="X30" s="57"/>
      <c r="Y30" s="57"/>
      <c r="Z30" s="57"/>
      <c r="AA30" s="57"/>
      <c r="AB30" s="57"/>
      <c r="AC30" s="57"/>
      <c r="AD30" s="56"/>
      <c r="AE30" s="56"/>
      <c r="AF30" s="54"/>
      <c r="AI30">
        <f t="shared" si="1"/>
      </c>
      <c r="AJ30">
        <f t="shared" si="2"/>
      </c>
      <c r="AK30">
        <f t="shared" si="3"/>
      </c>
      <c r="AL30">
        <f t="shared" si="4"/>
      </c>
      <c r="AM30">
        <f t="shared" si="5"/>
      </c>
      <c r="AN30">
        <f t="shared" si="6"/>
      </c>
      <c r="AO30">
        <f t="shared" si="7"/>
      </c>
      <c r="AP30">
        <f t="shared" si="8"/>
      </c>
      <c r="AQ30">
        <f t="shared" si="9"/>
      </c>
      <c r="AR30">
        <f t="shared" si="10"/>
      </c>
      <c r="AS30">
        <f t="shared" si="11"/>
      </c>
      <c r="AT30" s="46">
        <f t="shared" si="17"/>
      </c>
      <c r="AV30" s="94">
        <f t="shared" si="16"/>
      </c>
      <c r="AY30" s="94">
        <f t="shared" si="14"/>
        <v>0</v>
      </c>
    </row>
    <row r="31" spans="1:51" ht="12.75">
      <c r="A31" s="44"/>
      <c r="B31" s="45"/>
      <c r="C31" s="45"/>
      <c r="D31" s="47"/>
      <c r="E31" s="47"/>
      <c r="F31" s="47"/>
      <c r="G31" s="47"/>
      <c r="H31" s="47"/>
      <c r="I31" s="47"/>
      <c r="J31" s="47"/>
      <c r="K31" s="47"/>
      <c r="L31" s="32">
        <f>SUM(A31:K31)</f>
        <v>0</v>
      </c>
      <c r="M31" s="48" t="s">
        <v>57</v>
      </c>
      <c r="N31" s="49"/>
      <c r="O31" s="50"/>
      <c r="P31" s="51"/>
      <c r="Q31" s="50"/>
      <c r="R31" s="52"/>
      <c r="S31" s="53"/>
      <c r="T31" s="54"/>
      <c r="U31" s="55"/>
      <c r="V31" s="56"/>
      <c r="W31" s="53"/>
      <c r="X31" s="57"/>
      <c r="Y31" s="57"/>
      <c r="Z31" s="57"/>
      <c r="AA31" s="57"/>
      <c r="AB31" s="57"/>
      <c r="AC31" s="57"/>
      <c r="AD31" s="56"/>
      <c r="AE31" s="56"/>
      <c r="AF31" s="54"/>
      <c r="AI31">
        <f t="shared" si="1"/>
      </c>
      <c r="AJ31">
        <f t="shared" si="2"/>
      </c>
      <c r="AK31">
        <f t="shared" si="3"/>
      </c>
      <c r="AL31">
        <f t="shared" si="4"/>
      </c>
      <c r="AM31">
        <f t="shared" si="5"/>
      </c>
      <c r="AN31">
        <f t="shared" si="6"/>
      </c>
      <c r="AO31">
        <f t="shared" si="7"/>
      </c>
      <c r="AP31">
        <f t="shared" si="8"/>
      </c>
      <c r="AQ31">
        <f t="shared" si="9"/>
      </c>
      <c r="AR31">
        <f t="shared" si="10"/>
      </c>
      <c r="AS31">
        <f t="shared" si="11"/>
      </c>
      <c r="AT31" s="46">
        <f t="shared" si="17"/>
      </c>
      <c r="AV31" s="94">
        <f t="shared" si="16"/>
      </c>
      <c r="AY31" s="94">
        <f t="shared" si="14"/>
        <v>0</v>
      </c>
    </row>
    <row r="32" spans="1:51" ht="12.75">
      <c r="A32" s="44"/>
      <c r="B32" s="45"/>
      <c r="C32" s="45"/>
      <c r="D32" s="47"/>
      <c r="E32" s="47"/>
      <c r="F32" s="47"/>
      <c r="G32" s="47"/>
      <c r="H32" s="47"/>
      <c r="I32" s="47"/>
      <c r="J32" s="47"/>
      <c r="K32" s="47"/>
      <c r="L32" s="32"/>
      <c r="M32" s="48" t="s">
        <v>58</v>
      </c>
      <c r="N32" s="49"/>
      <c r="O32" s="50"/>
      <c r="P32" s="51"/>
      <c r="Q32" s="50"/>
      <c r="R32" s="52"/>
      <c r="S32" s="53"/>
      <c r="T32" s="54"/>
      <c r="U32" s="55"/>
      <c r="V32" s="56"/>
      <c r="W32" s="53"/>
      <c r="X32" s="57"/>
      <c r="Y32" s="57"/>
      <c r="Z32" s="57"/>
      <c r="AA32" s="57"/>
      <c r="AB32" s="57"/>
      <c r="AC32" s="57"/>
      <c r="AD32" s="56"/>
      <c r="AE32" s="56"/>
      <c r="AF32" s="54"/>
      <c r="AI32">
        <f t="shared" si="1"/>
      </c>
      <c r="AJ32">
        <f t="shared" si="2"/>
      </c>
      <c r="AK32">
        <f t="shared" si="3"/>
      </c>
      <c r="AL32">
        <f t="shared" si="4"/>
      </c>
      <c r="AM32">
        <f t="shared" si="5"/>
      </c>
      <c r="AN32">
        <f t="shared" si="6"/>
      </c>
      <c r="AO32">
        <f t="shared" si="7"/>
      </c>
      <c r="AP32">
        <f t="shared" si="8"/>
      </c>
      <c r="AQ32">
        <f t="shared" si="9"/>
      </c>
      <c r="AR32">
        <f t="shared" si="10"/>
      </c>
      <c r="AS32">
        <f t="shared" si="11"/>
      </c>
      <c r="AT32" s="46">
        <f t="shared" si="17"/>
      </c>
      <c r="AV32" s="94">
        <f t="shared" si="16"/>
      </c>
      <c r="AY32" s="94">
        <f t="shared" si="14"/>
        <v>0</v>
      </c>
    </row>
    <row r="33" spans="1:51" ht="12.75">
      <c r="A33" s="44"/>
      <c r="B33" s="45"/>
      <c r="C33" s="45"/>
      <c r="D33" s="47"/>
      <c r="E33" s="47">
        <v>41.78</v>
      </c>
      <c r="F33" s="47"/>
      <c r="G33" s="47"/>
      <c r="H33" s="47"/>
      <c r="I33" s="47"/>
      <c r="J33" s="47"/>
      <c r="K33" s="47"/>
      <c r="L33" s="32">
        <f aca="true" t="shared" si="18" ref="L33:L38">SUM(A33:K33)</f>
        <v>41.78</v>
      </c>
      <c r="M33" s="48" t="s">
        <v>59</v>
      </c>
      <c r="N33" s="49"/>
      <c r="O33" s="50">
        <v>20</v>
      </c>
      <c r="P33" s="51"/>
      <c r="Q33" s="50"/>
      <c r="R33" s="52"/>
      <c r="S33" s="53"/>
      <c r="T33" s="54"/>
      <c r="U33" s="55"/>
      <c r="V33" s="56"/>
      <c r="W33" s="53"/>
      <c r="X33" s="57"/>
      <c r="Y33" s="57"/>
      <c r="Z33" s="57"/>
      <c r="AA33" s="57"/>
      <c r="AB33" s="57"/>
      <c r="AC33" s="57"/>
      <c r="AD33" s="56"/>
      <c r="AE33" s="56"/>
      <c r="AF33" s="54">
        <f aca="true" t="shared" si="19" ref="AF33:AF38">L33*O33/100</f>
        <v>8.356</v>
      </c>
      <c r="AI33">
        <f t="shared" si="1"/>
      </c>
      <c r="AJ33">
        <f t="shared" si="2"/>
      </c>
      <c r="AK33">
        <f t="shared" si="3"/>
      </c>
      <c r="AL33">
        <f t="shared" si="4"/>
      </c>
      <c r="AM33">
        <f t="shared" si="5"/>
        <v>41.78</v>
      </c>
      <c r="AN33">
        <f t="shared" si="6"/>
      </c>
      <c r="AO33">
        <f t="shared" si="7"/>
      </c>
      <c r="AP33">
        <f t="shared" si="8"/>
      </c>
      <c r="AQ33">
        <f t="shared" si="9"/>
      </c>
      <c r="AR33">
        <f t="shared" si="10"/>
      </c>
      <c r="AS33">
        <f t="shared" si="11"/>
      </c>
      <c r="AT33" s="46">
        <f aca="true" t="shared" si="20" ref="AT33:AT38">IF(L33&lt;&gt;0,IF(Y33=0,L33,AY33/O33*100),"")</f>
        <v>41.78</v>
      </c>
      <c r="AV33" s="94">
        <f t="shared" si="16"/>
      </c>
      <c r="AY33" s="94">
        <f t="shared" si="14"/>
        <v>8.356</v>
      </c>
    </row>
    <row r="34" spans="1:51" ht="12.75">
      <c r="A34" s="44"/>
      <c r="B34" s="45"/>
      <c r="C34" s="45"/>
      <c r="D34" s="47">
        <f>64.98/65.1*16</f>
        <v>15.9705069124424</v>
      </c>
      <c r="E34" s="47"/>
      <c r="F34" s="47"/>
      <c r="G34" s="47"/>
      <c r="H34" s="47"/>
      <c r="I34" s="47"/>
      <c r="J34" s="47"/>
      <c r="K34" s="47"/>
      <c r="L34" s="32">
        <f t="shared" si="18"/>
        <v>15.9705069124424</v>
      </c>
      <c r="M34" s="48" t="s">
        <v>60</v>
      </c>
      <c r="N34" s="49"/>
      <c r="O34" s="50">
        <v>25</v>
      </c>
      <c r="P34" s="51"/>
      <c r="Q34" s="50"/>
      <c r="R34" s="52"/>
      <c r="S34" s="53"/>
      <c r="T34" s="54"/>
      <c r="U34" s="55"/>
      <c r="V34" s="56"/>
      <c r="W34" s="53"/>
      <c r="X34" s="57"/>
      <c r="Y34" s="57"/>
      <c r="Z34" s="57"/>
      <c r="AA34" s="57"/>
      <c r="AB34" s="57"/>
      <c r="AC34" s="57"/>
      <c r="AD34" s="56"/>
      <c r="AE34" s="56"/>
      <c r="AF34" s="54">
        <f t="shared" si="19"/>
        <v>3.9926267281106</v>
      </c>
      <c r="AI34">
        <f t="shared" si="1"/>
      </c>
      <c r="AJ34">
        <f t="shared" si="2"/>
      </c>
      <c r="AK34">
        <f t="shared" si="3"/>
      </c>
      <c r="AL34">
        <f t="shared" si="4"/>
        <v>15.9705069124424</v>
      </c>
      <c r="AM34">
        <f t="shared" si="5"/>
      </c>
      <c r="AN34">
        <f t="shared" si="6"/>
      </c>
      <c r="AO34">
        <f t="shared" si="7"/>
      </c>
      <c r="AP34">
        <f t="shared" si="8"/>
      </c>
      <c r="AQ34">
        <f t="shared" si="9"/>
      </c>
      <c r="AR34">
        <f t="shared" si="10"/>
      </c>
      <c r="AS34">
        <f t="shared" si="11"/>
      </c>
      <c r="AT34" s="46">
        <f t="shared" si="20"/>
        <v>15.9705069124424</v>
      </c>
      <c r="AV34" s="94">
        <f t="shared" si="16"/>
      </c>
      <c r="AY34" s="94">
        <f t="shared" si="14"/>
        <v>3.9926267281106</v>
      </c>
    </row>
    <row r="35" spans="1:51" ht="12.75">
      <c r="A35" s="44"/>
      <c r="B35" s="45"/>
      <c r="C35" s="45"/>
      <c r="D35" s="47">
        <f>64.98/65.1*3.2</f>
        <v>3.19410138248848</v>
      </c>
      <c r="E35" s="47"/>
      <c r="F35" s="47"/>
      <c r="G35" s="47"/>
      <c r="H35" s="47"/>
      <c r="I35" s="47"/>
      <c r="J35" s="47"/>
      <c r="K35" s="47"/>
      <c r="L35" s="32">
        <f t="shared" si="18"/>
        <v>3.19410138248848</v>
      </c>
      <c r="M35" s="48" t="s">
        <v>61</v>
      </c>
      <c r="N35" s="49"/>
      <c r="O35" s="50">
        <v>33</v>
      </c>
      <c r="P35" s="51"/>
      <c r="Q35" s="50"/>
      <c r="R35" s="52"/>
      <c r="S35" s="53"/>
      <c r="T35" s="54"/>
      <c r="U35" s="55"/>
      <c r="V35" s="56"/>
      <c r="W35" s="53"/>
      <c r="X35" s="57"/>
      <c r="Y35" s="57"/>
      <c r="Z35" s="57"/>
      <c r="AA35" s="57"/>
      <c r="AB35" s="57"/>
      <c r="AC35" s="57"/>
      <c r="AD35" s="56"/>
      <c r="AE35" s="56"/>
      <c r="AF35" s="54">
        <f t="shared" si="19"/>
        <v>1.0540534562211983</v>
      </c>
      <c r="AI35">
        <f t="shared" si="1"/>
      </c>
      <c r="AJ35">
        <f t="shared" si="2"/>
      </c>
      <c r="AK35">
        <f t="shared" si="3"/>
      </c>
      <c r="AL35">
        <f t="shared" si="4"/>
        <v>3.19410138248848</v>
      </c>
      <c r="AM35">
        <f t="shared" si="5"/>
      </c>
      <c r="AN35">
        <f t="shared" si="6"/>
      </c>
      <c r="AO35">
        <f t="shared" si="7"/>
      </c>
      <c r="AP35">
        <f t="shared" si="8"/>
      </c>
      <c r="AQ35">
        <f t="shared" si="9"/>
      </c>
      <c r="AR35">
        <f t="shared" si="10"/>
      </c>
      <c r="AS35">
        <f t="shared" si="11"/>
      </c>
      <c r="AT35" s="46">
        <f t="shared" si="20"/>
        <v>3.19410138248848</v>
      </c>
      <c r="AV35" s="94">
        <f t="shared" si="16"/>
      </c>
      <c r="AY35" s="94">
        <f t="shared" si="14"/>
        <v>1.0540534562211983</v>
      </c>
    </row>
    <row r="36" spans="1:51" ht="12.75">
      <c r="A36" s="44"/>
      <c r="B36" s="45"/>
      <c r="C36" s="45"/>
      <c r="D36" s="47">
        <f>64.98/65.1*20.3</f>
        <v>20.262580645161293</v>
      </c>
      <c r="E36" s="47"/>
      <c r="F36" s="47"/>
      <c r="G36" s="47"/>
      <c r="H36" s="47"/>
      <c r="I36" s="47"/>
      <c r="J36" s="47"/>
      <c r="K36" s="47"/>
      <c r="L36" s="32">
        <f t="shared" si="18"/>
        <v>20.262580645161293</v>
      </c>
      <c r="M36" s="48" t="s">
        <v>62</v>
      </c>
      <c r="N36" s="49"/>
      <c r="O36" s="50">
        <v>33</v>
      </c>
      <c r="P36" s="51"/>
      <c r="Q36" s="50"/>
      <c r="R36" s="52"/>
      <c r="S36" s="53"/>
      <c r="T36" s="54"/>
      <c r="U36" s="55"/>
      <c r="V36" s="56"/>
      <c r="W36" s="53"/>
      <c r="X36" s="57"/>
      <c r="Y36" s="57"/>
      <c r="Z36" s="57"/>
      <c r="AA36" s="57"/>
      <c r="AB36" s="57"/>
      <c r="AC36" s="57"/>
      <c r="AD36" s="56"/>
      <c r="AE36" s="56"/>
      <c r="AF36" s="54">
        <f t="shared" si="19"/>
        <v>6.686651612903226</v>
      </c>
      <c r="AI36">
        <f t="shared" si="1"/>
      </c>
      <c r="AJ36">
        <f t="shared" si="2"/>
      </c>
      <c r="AK36">
        <f t="shared" si="3"/>
      </c>
      <c r="AL36">
        <f t="shared" si="4"/>
        <v>20.262580645161293</v>
      </c>
      <c r="AM36">
        <f t="shared" si="5"/>
      </c>
      <c r="AN36">
        <f t="shared" si="6"/>
      </c>
      <c r="AO36">
        <f t="shared" si="7"/>
      </c>
      <c r="AP36">
        <f t="shared" si="8"/>
      </c>
      <c r="AQ36">
        <f t="shared" si="9"/>
      </c>
      <c r="AR36">
        <f t="shared" si="10"/>
      </c>
      <c r="AS36">
        <f t="shared" si="11"/>
      </c>
      <c r="AT36" s="46">
        <f t="shared" si="20"/>
        <v>20.262580645161293</v>
      </c>
      <c r="AV36" s="94">
        <f t="shared" si="16"/>
      </c>
      <c r="AY36" s="94">
        <f t="shared" si="14"/>
        <v>6.686651612903226</v>
      </c>
    </row>
    <row r="37" spans="1:51" ht="12.75">
      <c r="A37" s="44"/>
      <c r="B37" s="45"/>
      <c r="C37" s="45"/>
      <c r="D37" s="47">
        <f>64.98/65.1*25.6</f>
        <v>25.55281105990784</v>
      </c>
      <c r="E37" s="47"/>
      <c r="F37" s="47"/>
      <c r="G37" s="47"/>
      <c r="H37" s="47"/>
      <c r="I37" s="47"/>
      <c r="J37" s="47"/>
      <c r="K37" s="47"/>
      <c r="L37" s="32">
        <f t="shared" si="18"/>
        <v>25.55281105990784</v>
      </c>
      <c r="M37" s="48" t="s">
        <v>63</v>
      </c>
      <c r="N37" s="49"/>
      <c r="O37" s="50">
        <v>33</v>
      </c>
      <c r="P37" s="51"/>
      <c r="Q37" s="50"/>
      <c r="R37" s="52"/>
      <c r="S37" s="53"/>
      <c r="T37" s="54"/>
      <c r="U37" s="55"/>
      <c r="V37" s="56"/>
      <c r="W37" s="53"/>
      <c r="X37" s="57"/>
      <c r="Y37" s="57"/>
      <c r="Z37" s="57"/>
      <c r="AA37" s="57"/>
      <c r="AB37" s="57"/>
      <c r="AC37" s="57"/>
      <c r="AD37" s="56"/>
      <c r="AE37" s="56"/>
      <c r="AF37" s="54">
        <f t="shared" si="19"/>
        <v>8.432427649769586</v>
      </c>
      <c r="AI37">
        <f t="shared" si="1"/>
      </c>
      <c r="AJ37">
        <f t="shared" si="2"/>
      </c>
      <c r="AK37">
        <f t="shared" si="3"/>
      </c>
      <c r="AL37">
        <f t="shared" si="4"/>
        <v>25.55281105990784</v>
      </c>
      <c r="AM37">
        <f t="shared" si="5"/>
      </c>
      <c r="AN37">
        <f t="shared" si="6"/>
      </c>
      <c r="AO37">
        <f t="shared" si="7"/>
      </c>
      <c r="AP37">
        <f t="shared" si="8"/>
      </c>
      <c r="AQ37">
        <f t="shared" si="9"/>
      </c>
      <c r="AR37">
        <f t="shared" si="10"/>
      </c>
      <c r="AS37">
        <f t="shared" si="11"/>
      </c>
      <c r="AT37" s="46">
        <f t="shared" si="20"/>
        <v>25.55281105990784</v>
      </c>
      <c r="AV37" s="94">
        <f t="shared" si="16"/>
      </c>
      <c r="AY37" s="94">
        <f t="shared" si="14"/>
        <v>8.432427649769586</v>
      </c>
    </row>
    <row r="38" spans="1:51" ht="13.5" thickBot="1">
      <c r="A38" s="44"/>
      <c r="B38" s="45"/>
      <c r="C38" s="45"/>
      <c r="D38" s="47">
        <v>90.43</v>
      </c>
      <c r="E38" s="47"/>
      <c r="F38" s="47"/>
      <c r="G38" s="47"/>
      <c r="H38" s="47"/>
      <c r="I38" s="47"/>
      <c r="J38" s="47"/>
      <c r="K38" s="47"/>
      <c r="L38" s="58">
        <f t="shared" si="18"/>
        <v>90.43</v>
      </c>
      <c r="M38" s="48" t="s">
        <v>64</v>
      </c>
      <c r="N38" s="49"/>
      <c r="O38" s="50">
        <v>38</v>
      </c>
      <c r="P38" s="51"/>
      <c r="Q38" s="50"/>
      <c r="R38" s="52"/>
      <c r="S38" s="53"/>
      <c r="T38" s="54"/>
      <c r="U38" s="55"/>
      <c r="V38" s="56"/>
      <c r="W38" s="53"/>
      <c r="X38" s="57"/>
      <c r="Y38" s="57"/>
      <c r="Z38" s="57"/>
      <c r="AA38" s="57"/>
      <c r="AB38" s="57"/>
      <c r="AC38" s="57"/>
      <c r="AD38" s="56"/>
      <c r="AE38" s="56"/>
      <c r="AF38" s="54">
        <f t="shared" si="19"/>
        <v>34.3634</v>
      </c>
      <c r="AI38">
        <f t="shared" si="1"/>
      </c>
      <c r="AJ38">
        <f t="shared" si="2"/>
      </c>
      <c r="AK38">
        <f t="shared" si="3"/>
      </c>
      <c r="AL38">
        <f t="shared" si="4"/>
        <v>90.43</v>
      </c>
      <c r="AM38">
        <f t="shared" si="5"/>
      </c>
      <c r="AN38">
        <f t="shared" si="6"/>
      </c>
      <c r="AO38">
        <f t="shared" si="7"/>
      </c>
      <c r="AP38">
        <f t="shared" si="8"/>
      </c>
      <c r="AQ38">
        <f t="shared" si="9"/>
      </c>
      <c r="AR38">
        <f t="shared" si="10"/>
      </c>
      <c r="AS38">
        <f t="shared" si="11"/>
      </c>
      <c r="AT38" s="46">
        <f t="shared" si="20"/>
        <v>90.43</v>
      </c>
      <c r="AV38" s="94">
        <f t="shared" si="16"/>
      </c>
      <c r="AY38" s="94">
        <f t="shared" si="14"/>
        <v>34.3634</v>
      </c>
    </row>
    <row r="39" spans="1:51" ht="13.5" thickBot="1">
      <c r="A39" s="59">
        <f aca="true" t="shared" si="21" ref="A39:L39">SUM(A7:A38)</f>
        <v>98.99693028453605</v>
      </c>
      <c r="B39" s="60">
        <f t="shared" si="21"/>
        <v>2.7800000000000002</v>
      </c>
      <c r="C39" s="60">
        <f t="shared" si="21"/>
        <v>132.97338105263157</v>
      </c>
      <c r="D39" s="60">
        <f t="shared" si="21"/>
        <v>155.41000000000003</v>
      </c>
      <c r="E39" s="60">
        <f t="shared" si="21"/>
        <v>41.78</v>
      </c>
      <c r="F39" s="60">
        <f t="shared" si="21"/>
        <v>51.6832</v>
      </c>
      <c r="G39" s="60">
        <f t="shared" si="21"/>
        <v>1.62</v>
      </c>
      <c r="H39" s="60">
        <f t="shared" si="21"/>
        <v>5.54</v>
      </c>
      <c r="I39" s="60">
        <f t="shared" si="21"/>
        <v>0.072</v>
      </c>
      <c r="J39" s="60">
        <f t="shared" si="21"/>
        <v>5.6247192</v>
      </c>
      <c r="K39" s="60">
        <f t="shared" si="21"/>
        <v>0</v>
      </c>
      <c r="L39" s="61">
        <f t="shared" si="21"/>
        <v>496.48023053716764</v>
      </c>
      <c r="M39" s="62" t="s">
        <v>22</v>
      </c>
      <c r="N39" s="60"/>
      <c r="O39" s="63"/>
      <c r="P39" s="61"/>
      <c r="Q39" s="63"/>
      <c r="R39" s="64"/>
      <c r="S39" s="59">
        <f aca="true" t="shared" si="22" ref="S39:AF39">SUM(S7:S38)</f>
        <v>1.3739009929736312E-15</v>
      </c>
      <c r="T39" s="65">
        <f t="shared" si="22"/>
        <v>101.48299999999996</v>
      </c>
      <c r="U39" s="60">
        <f t="shared" si="22"/>
        <v>0</v>
      </c>
      <c r="V39" s="61">
        <f t="shared" si="22"/>
        <v>31.668479999999995</v>
      </c>
      <c r="W39" s="59">
        <f t="shared" si="22"/>
        <v>24.622329</v>
      </c>
      <c r="X39" s="63">
        <f t="shared" si="22"/>
        <v>116.56873349999998</v>
      </c>
      <c r="Y39" s="63">
        <f t="shared" si="22"/>
        <v>116.4489916063174</v>
      </c>
      <c r="Z39" s="63">
        <f t="shared" si="22"/>
        <v>26.703251799999997</v>
      </c>
      <c r="AA39" s="63">
        <f t="shared" si="22"/>
        <v>6.28404045</v>
      </c>
      <c r="AB39" s="63">
        <f t="shared" si="22"/>
        <v>14.015634999999996</v>
      </c>
      <c r="AC39" s="63">
        <f t="shared" si="22"/>
        <v>11.04774</v>
      </c>
      <c r="AD39" s="61">
        <f t="shared" si="22"/>
        <v>10.334719</v>
      </c>
      <c r="AE39" s="61">
        <f t="shared" si="22"/>
        <v>10.683525499999998</v>
      </c>
      <c r="AF39" s="65">
        <f t="shared" si="22"/>
        <v>62.88515944700461</v>
      </c>
      <c r="AI39" s="46">
        <f aca="true" t="shared" si="23" ref="AI39:AV39">SUM(AI7:AI38)</f>
        <v>98.98890127876984</v>
      </c>
      <c r="AJ39" s="46">
        <f t="shared" si="23"/>
        <v>2.7800000000000002</v>
      </c>
      <c r="AK39" s="46">
        <f t="shared" si="23"/>
        <v>132.86069174665477</v>
      </c>
      <c r="AL39" s="46">
        <f t="shared" si="23"/>
        <v>155.41000000000003</v>
      </c>
      <c r="AM39" s="46">
        <f t="shared" si="23"/>
        <v>41.78</v>
      </c>
      <c r="AN39" s="46">
        <f t="shared" si="23"/>
        <v>51.639400677966094</v>
      </c>
      <c r="AO39" s="46">
        <f t="shared" si="23"/>
        <v>1.6186271186440677</v>
      </c>
      <c r="AP39" s="46">
        <f t="shared" si="23"/>
        <v>5.5353050847457625</v>
      </c>
      <c r="AQ39" s="46">
        <f t="shared" si="23"/>
        <v>0.07198520801232666</v>
      </c>
      <c r="AR39" s="46">
        <f t="shared" si="23"/>
        <v>5.6247192</v>
      </c>
      <c r="AS39" s="46">
        <f t="shared" si="23"/>
        <v>0</v>
      </c>
      <c r="AT39" s="46">
        <f t="shared" si="23"/>
        <v>496.30963031479297</v>
      </c>
      <c r="AU39" s="46">
        <f t="shared" si="23"/>
        <v>8.257283745649602E-15</v>
      </c>
      <c r="AV39" s="46">
        <f t="shared" si="23"/>
        <v>101.47521186440675</v>
      </c>
      <c r="AY39" s="94"/>
    </row>
    <row r="40" spans="1:46" ht="12.75">
      <c r="A40" s="66">
        <f aca="true" t="shared" si="24" ref="A40:K40">A$39*A48/1000</f>
        <v>21.38333694145979</v>
      </c>
      <c r="B40" s="67">
        <f t="shared" si="24"/>
        <v>0.19043000000000002</v>
      </c>
      <c r="C40" s="67">
        <f t="shared" si="24"/>
        <v>9.840030197894736</v>
      </c>
      <c r="D40" s="67">
        <f t="shared" si="24"/>
        <v>11.500340000000001</v>
      </c>
      <c r="E40" s="67">
        <f t="shared" si="24"/>
        <v>3.04994</v>
      </c>
      <c r="F40" s="67">
        <f t="shared" si="24"/>
        <v>0</v>
      </c>
      <c r="G40" s="67">
        <f t="shared" si="24"/>
        <v>0</v>
      </c>
      <c r="H40" s="67">
        <f t="shared" si="24"/>
        <v>0</v>
      </c>
      <c r="I40" s="67">
        <f t="shared" si="24"/>
        <v>0</v>
      </c>
      <c r="J40" s="67">
        <f t="shared" si="24"/>
        <v>0</v>
      </c>
      <c r="K40" s="67">
        <f t="shared" si="24"/>
        <v>0</v>
      </c>
      <c r="L40" s="67">
        <f>SUM(A40:K40)</f>
        <v>45.96407713935452</v>
      </c>
      <c r="M40" s="68" t="s">
        <v>65</v>
      </c>
      <c r="N40" s="69"/>
      <c r="O40" s="97">
        <f>L40*1000/$I$1</f>
        <v>10.612809314097095</v>
      </c>
      <c r="P40" s="83" t="s">
        <v>71</v>
      </c>
      <c r="Q40" s="83"/>
      <c r="R40" s="83"/>
      <c r="S40" s="97">
        <f>AT40*1000/$I$1</f>
        <v>10.610483460047734</v>
      </c>
      <c r="T40" s="83" t="str">
        <f>P40&amp;", graddagskorrigeret"</f>
        <v>tons/indbygger, graddagskorrigeret</v>
      </c>
      <c r="U40" s="83"/>
      <c r="V40" s="83"/>
      <c r="W40" s="83"/>
      <c r="X40" s="69"/>
      <c r="Y40" s="95">
        <f>3112/3115.2</f>
        <v>0.9989727786337956</v>
      </c>
      <c r="Z40" s="2"/>
      <c r="AA40" s="2"/>
      <c r="AB40" s="2"/>
      <c r="AC40" s="2"/>
      <c r="AI40">
        <f aca="true" t="shared" si="25" ref="AI40:AS40">AI$39*A48/1000</f>
        <v>21.381602676214285</v>
      </c>
      <c r="AJ40">
        <f t="shared" si="25"/>
        <v>0.19043000000000002</v>
      </c>
      <c r="AK40">
        <f t="shared" si="25"/>
        <v>9.831691189252453</v>
      </c>
      <c r="AL40">
        <f t="shared" si="25"/>
        <v>11.500340000000001</v>
      </c>
      <c r="AM40">
        <f t="shared" si="25"/>
        <v>3.04994</v>
      </c>
      <c r="AN40">
        <f t="shared" si="25"/>
        <v>0</v>
      </c>
      <c r="AO40">
        <f t="shared" si="25"/>
        <v>0</v>
      </c>
      <c r="AP40">
        <f t="shared" si="25"/>
        <v>0</v>
      </c>
      <c r="AQ40">
        <f t="shared" si="25"/>
        <v>0</v>
      </c>
      <c r="AR40">
        <f t="shared" si="25"/>
        <v>0</v>
      </c>
      <c r="AS40">
        <f t="shared" si="25"/>
        <v>0</v>
      </c>
      <c r="AT40">
        <f>SUM(AI40:AS40)</f>
        <v>45.95400386546674</v>
      </c>
    </row>
    <row r="41" spans="1:46" ht="12.75">
      <c r="A41" s="29">
        <f aca="true" t="shared" si="26" ref="A41:K41">A$39*A49</f>
        <v>50.488434445113384</v>
      </c>
      <c r="B41" s="31">
        <f t="shared" si="26"/>
        <v>0</v>
      </c>
      <c r="C41" s="31">
        <f t="shared" si="26"/>
        <v>12.499497818947367</v>
      </c>
      <c r="D41" s="31">
        <f t="shared" si="26"/>
        <v>14.608540000000003</v>
      </c>
      <c r="E41" s="31">
        <f t="shared" si="26"/>
        <v>0.91916</v>
      </c>
      <c r="F41" s="31">
        <f t="shared" si="26"/>
        <v>6.718816</v>
      </c>
      <c r="G41" s="31">
        <f t="shared" si="26"/>
        <v>0.024300000000000002</v>
      </c>
      <c r="H41" s="31">
        <f t="shared" si="26"/>
        <v>0.0831</v>
      </c>
      <c r="I41" s="31">
        <f t="shared" si="26"/>
        <v>0</v>
      </c>
      <c r="J41" s="31">
        <f t="shared" si="26"/>
        <v>0</v>
      </c>
      <c r="K41" s="31">
        <f t="shared" si="26"/>
        <v>0</v>
      </c>
      <c r="L41" s="31">
        <f>SUM(A41:K41)</f>
        <v>85.34184826406076</v>
      </c>
      <c r="M41" s="36" t="s">
        <v>66</v>
      </c>
      <c r="N41" s="70"/>
      <c r="O41" s="98">
        <f>L41*1000/$I$1</f>
        <v>19.704882997935986</v>
      </c>
      <c r="P41" s="37" t="s">
        <v>72</v>
      </c>
      <c r="Q41" s="37"/>
      <c r="R41" s="37"/>
      <c r="S41" s="98">
        <f>AT41*1000/$I$1</f>
        <v>19.700156025754932</v>
      </c>
      <c r="T41" s="37" t="str">
        <f>P41&amp;", graddagskorrigeret"</f>
        <v>kg/indbygger, graddagskorrigeret</v>
      </c>
      <c r="U41" s="37"/>
      <c r="V41" s="37"/>
      <c r="W41" s="37"/>
      <c r="X41" s="70"/>
      <c r="AI41">
        <f aca="true" t="shared" si="27" ref="AI41:AS42">AI$39*A49</f>
        <v>50.48433965217262</v>
      </c>
      <c r="AJ41">
        <f t="shared" si="27"/>
        <v>0</v>
      </c>
      <c r="AK41">
        <f t="shared" si="27"/>
        <v>12.488905024185549</v>
      </c>
      <c r="AL41">
        <f t="shared" si="27"/>
        <v>14.608540000000003</v>
      </c>
      <c r="AM41">
        <f t="shared" si="27"/>
        <v>0.91916</v>
      </c>
      <c r="AN41">
        <f t="shared" si="27"/>
        <v>6.713122088135592</v>
      </c>
      <c r="AO41">
        <f t="shared" si="27"/>
        <v>0.024279406779661016</v>
      </c>
      <c r="AP41">
        <f t="shared" si="27"/>
        <v>0.08302957627118643</v>
      </c>
      <c r="AQ41">
        <f t="shared" si="27"/>
        <v>0</v>
      </c>
      <c r="AR41">
        <f t="shared" si="27"/>
        <v>0</v>
      </c>
      <c r="AS41">
        <f t="shared" si="27"/>
        <v>0</v>
      </c>
      <c r="AT41">
        <f>SUM(AI41:AS41)</f>
        <v>85.32137574754461</v>
      </c>
    </row>
    <row r="42" spans="1:46" ht="13.5" thickBot="1">
      <c r="A42" s="29">
        <f aca="true" t="shared" si="28" ref="A42:K42">A$39*A50</f>
        <v>52.46837305080411</v>
      </c>
      <c r="B42" s="31">
        <f t="shared" si="28"/>
        <v>0.278</v>
      </c>
      <c r="C42" s="31">
        <f t="shared" si="28"/>
        <v>13.297338105263158</v>
      </c>
      <c r="D42" s="31">
        <f t="shared" si="28"/>
        <v>236.22320000000005</v>
      </c>
      <c r="E42" s="31">
        <f t="shared" si="28"/>
        <v>30.4994</v>
      </c>
      <c r="F42" s="31">
        <f t="shared" si="28"/>
        <v>4.651488</v>
      </c>
      <c r="G42" s="31">
        <f t="shared" si="28"/>
        <v>0.1458</v>
      </c>
      <c r="H42" s="31">
        <f t="shared" si="28"/>
        <v>0.4986</v>
      </c>
      <c r="I42" s="31">
        <f t="shared" si="28"/>
        <v>0</v>
      </c>
      <c r="J42" s="31">
        <f t="shared" si="28"/>
        <v>0</v>
      </c>
      <c r="K42" s="31">
        <f t="shared" si="28"/>
        <v>0</v>
      </c>
      <c r="L42" s="31">
        <f>SUM(A42:K42)</f>
        <v>338.06219915606727</v>
      </c>
      <c r="M42" s="36" t="s">
        <v>89</v>
      </c>
      <c r="N42" s="70"/>
      <c r="O42" s="99">
        <f>L42*1000/$I$1</f>
        <v>78.056384012022</v>
      </c>
      <c r="P42" s="88" t="s">
        <v>72</v>
      </c>
      <c r="Q42" s="88"/>
      <c r="R42" s="88"/>
      <c r="S42" s="99">
        <f>AT42*1000/$I$1</f>
        <v>78.05176329063391</v>
      </c>
      <c r="T42" s="88" t="str">
        <f>P42&amp;", graddagskorrigeret"</f>
        <v>kg/indbygger, graddagskorrigeret</v>
      </c>
      <c r="U42" s="88"/>
      <c r="V42" s="88"/>
      <c r="W42" s="88"/>
      <c r="X42" s="74"/>
      <c r="AI42">
        <f t="shared" si="27"/>
        <v>52.46411767774802</v>
      </c>
      <c r="AJ42">
        <f t="shared" si="27"/>
        <v>0.278</v>
      </c>
      <c r="AK42">
        <f t="shared" si="27"/>
        <v>13.286069174665478</v>
      </c>
      <c r="AL42">
        <f t="shared" si="27"/>
        <v>236.22320000000005</v>
      </c>
      <c r="AM42">
        <f t="shared" si="27"/>
        <v>30.4994</v>
      </c>
      <c r="AN42">
        <f t="shared" si="27"/>
        <v>4.647546061016948</v>
      </c>
      <c r="AO42">
        <f t="shared" si="27"/>
        <v>0.1456764406779661</v>
      </c>
      <c r="AP42">
        <f t="shared" si="27"/>
        <v>0.4981774576271186</v>
      </c>
      <c r="AQ42">
        <f t="shared" si="27"/>
        <v>0</v>
      </c>
      <c r="AR42">
        <f t="shared" si="27"/>
        <v>0</v>
      </c>
      <c r="AS42">
        <f t="shared" si="27"/>
        <v>0</v>
      </c>
      <c r="AT42" s="46">
        <f>SUM(AI42:AS42)</f>
        <v>338.0421868117355</v>
      </c>
    </row>
    <row r="43" spans="1:24" ht="13.5" hidden="1" thickBot="1">
      <c r="A43" s="71" t="e">
        <f>A$39*#REF!</f>
        <v>#REF!</v>
      </c>
      <c r="B43" s="72" t="e">
        <f>B$39*#REF!</f>
        <v>#REF!</v>
      </c>
      <c r="C43" s="72" t="e">
        <f>C$39*#REF!</f>
        <v>#REF!</v>
      </c>
      <c r="D43" s="72" t="e">
        <f>D$39*#REF!</f>
        <v>#REF!</v>
      </c>
      <c r="E43" s="72" t="e">
        <f>E$39*#REF!</f>
        <v>#REF!</v>
      </c>
      <c r="F43" s="72" t="e">
        <f>F$39*#REF!</f>
        <v>#REF!</v>
      </c>
      <c r="G43" s="72" t="e">
        <f>G$39*#REF!</f>
        <v>#REF!</v>
      </c>
      <c r="H43" s="72" t="e">
        <f>H$39*#REF!</f>
        <v>#REF!</v>
      </c>
      <c r="I43" s="72" t="e">
        <f>I$39*#REF!</f>
        <v>#REF!</v>
      </c>
      <c r="J43" s="72" t="e">
        <f>J$39*#REF!</f>
        <v>#REF!</v>
      </c>
      <c r="K43" s="72" t="e">
        <f>K$39*#REF!</f>
        <v>#REF!</v>
      </c>
      <c r="L43" s="72" t="e">
        <f>SUM(A43:K43)</f>
        <v>#REF!</v>
      </c>
      <c r="M43" s="73" t="s">
        <v>67</v>
      </c>
      <c r="N43" s="74"/>
      <c r="S43" s="14"/>
      <c r="T43" s="18" t="str">
        <f>P43&amp;", graddagskorrigeret"</f>
        <v>, graddagskorrigeret</v>
      </c>
      <c r="U43" s="18"/>
      <c r="V43" s="18"/>
      <c r="W43" s="18"/>
      <c r="X43" s="20"/>
    </row>
    <row r="44" spans="1:24" ht="12.75">
      <c r="A44" s="66"/>
      <c r="B44" s="67"/>
      <c r="C44" s="67"/>
      <c r="D44" s="67"/>
      <c r="E44" s="67"/>
      <c r="F44" s="67">
        <v>117.4</v>
      </c>
      <c r="G44" s="67"/>
      <c r="H44" s="67">
        <v>9.8</v>
      </c>
      <c r="I44" s="67"/>
      <c r="J44" s="67"/>
      <c r="K44" s="67">
        <v>145.1</v>
      </c>
      <c r="L44" s="67">
        <f>SUM(A44:K44)</f>
        <v>272.3</v>
      </c>
      <c r="M44" s="68" t="s">
        <v>68</v>
      </c>
      <c r="N44" s="69"/>
      <c r="O44" s="101">
        <f>SUM(F39:K39)/L39</f>
        <v>0.1299949428604054</v>
      </c>
      <c r="P44" s="2" t="s">
        <v>73</v>
      </c>
      <c r="Q44" s="2"/>
      <c r="R44" s="2"/>
      <c r="S44" s="101">
        <f>SUM(AN39:AS39)/AT39</f>
        <v>0.12993912136757116</v>
      </c>
      <c r="T44" s="2" t="str">
        <f>P44&amp;", graddagskorrigeret"</f>
        <v>Vedvarende , graddagskorrigeret</v>
      </c>
      <c r="U44" s="2"/>
      <c r="V44" s="2"/>
      <c r="W44" s="2"/>
      <c r="X44" s="3"/>
    </row>
    <row r="45" spans="1:24" ht="13.5" thickBot="1">
      <c r="A45" s="75"/>
      <c r="B45" s="76"/>
      <c r="C45" s="76"/>
      <c r="D45" s="76"/>
      <c r="E45" s="76"/>
      <c r="F45" s="77">
        <f>F39/F44</f>
        <v>0.4402316865417376</v>
      </c>
      <c r="G45" s="76"/>
      <c r="H45" s="77">
        <f>H39/H44</f>
        <v>0.5653061224489796</v>
      </c>
      <c r="I45" s="76"/>
      <c r="J45" s="76"/>
      <c r="K45" s="77">
        <f>K39/K44</f>
        <v>0</v>
      </c>
      <c r="L45" s="107">
        <f>SUM(F39,H39,K39)/L44</f>
        <v>0.21014763128901945</v>
      </c>
      <c r="M45" s="73" t="s">
        <v>69</v>
      </c>
      <c r="N45" s="74"/>
      <c r="O45" s="11"/>
      <c r="P45" s="12" t="s">
        <v>74</v>
      </c>
      <c r="Q45" s="12"/>
      <c r="R45" s="12"/>
      <c r="S45" s="11"/>
      <c r="T45" s="12" t="str">
        <f>P45</f>
        <v>Energi</v>
      </c>
      <c r="U45" s="12"/>
      <c r="V45" s="12"/>
      <c r="W45" s="12"/>
      <c r="X45" s="13"/>
    </row>
    <row r="46" ht="13.5" thickBot="1">
      <c r="M46" s="5"/>
    </row>
    <row r="47" spans="1:13" ht="52.5" customHeight="1" thickBot="1">
      <c r="A47" s="78" t="str">
        <f aca="true" t="shared" si="29" ref="A47:K47">A6</f>
        <v>elimport</v>
      </c>
      <c r="B47" s="79" t="str">
        <f t="shared" si="29"/>
        <v>LPG og petroleum</v>
      </c>
      <c r="C47" s="79" t="str">
        <f t="shared" si="29"/>
        <v>Olie</v>
      </c>
      <c r="D47" s="79" t="str">
        <f t="shared" si="29"/>
        <v>Diesel</v>
      </c>
      <c r="E47" s="79" t="str">
        <f t="shared" si="29"/>
        <v>Benzin</v>
      </c>
      <c r="F47" s="79" t="str">
        <f t="shared" si="29"/>
        <v>Halm</v>
      </c>
      <c r="G47" s="79" t="str">
        <f t="shared" si="29"/>
        <v>Træpiller</v>
      </c>
      <c r="H47" s="79" t="str">
        <f t="shared" si="29"/>
        <v>Træ og træflis</v>
      </c>
      <c r="I47" s="79" t="str">
        <f t="shared" si="29"/>
        <v>Solvarme</v>
      </c>
      <c r="J47" s="79" t="str">
        <f t="shared" si="29"/>
        <v>Vind</v>
      </c>
      <c r="K47" s="79" t="str">
        <f t="shared" si="29"/>
        <v>Biogas</v>
      </c>
      <c r="M47" s="5"/>
    </row>
    <row r="48" spans="1:17" ht="12.75">
      <c r="A48" s="80">
        <v>216</v>
      </c>
      <c r="B48" s="81">
        <v>68.5</v>
      </c>
      <c r="C48" s="81">
        <v>74</v>
      </c>
      <c r="D48" s="81">
        <v>74</v>
      </c>
      <c r="E48" s="81">
        <v>73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2" t="str">
        <f>"CO2-emissionsværdier (ton/"&amp;$C$3&amp;")"</f>
        <v>CO2-emissionsværdier (ton/TJ)</v>
      </c>
      <c r="M48" s="83"/>
      <c r="N48" s="69"/>
      <c r="Q48" s="84"/>
    </row>
    <row r="49" spans="1:14" ht="12.75">
      <c r="A49" s="85">
        <v>0.51</v>
      </c>
      <c r="B49" s="35">
        <v>0</v>
      </c>
      <c r="C49" s="35">
        <v>0.094</v>
      </c>
      <c r="D49" s="35">
        <v>0.094</v>
      </c>
      <c r="E49" s="35">
        <v>0.022</v>
      </c>
      <c r="F49" s="35">
        <v>0.13</v>
      </c>
      <c r="G49" s="35">
        <v>0.015</v>
      </c>
      <c r="H49" s="35">
        <v>0.015</v>
      </c>
      <c r="I49" s="35">
        <v>0</v>
      </c>
      <c r="J49" s="35">
        <v>0</v>
      </c>
      <c r="K49" s="35">
        <v>0</v>
      </c>
      <c r="L49" s="86" t="str">
        <f>"SO2-emissionsværdier (ton/"&amp;$C$3&amp;")"</f>
        <v>SO2-emissionsværdier (ton/TJ)</v>
      </c>
      <c r="M49" s="37"/>
      <c r="N49" s="70"/>
    </row>
    <row r="50" spans="1:14" ht="13.5" thickBot="1">
      <c r="A50" s="75">
        <v>0.53</v>
      </c>
      <c r="B50" s="76">
        <v>0.1</v>
      </c>
      <c r="C50" s="76">
        <v>0.1</v>
      </c>
      <c r="D50" s="76">
        <v>1.52</v>
      </c>
      <c r="E50" s="76">
        <v>0.73</v>
      </c>
      <c r="F50" s="76">
        <v>0.09</v>
      </c>
      <c r="G50" s="76">
        <v>0.09</v>
      </c>
      <c r="H50" s="76">
        <v>0.09</v>
      </c>
      <c r="I50" s="76">
        <v>0</v>
      </c>
      <c r="J50" s="76">
        <v>0</v>
      </c>
      <c r="K50" s="76">
        <v>0.2</v>
      </c>
      <c r="L50" s="87" t="str">
        <f>"NOx-emissionsværdier (ton/"&amp;$C$3&amp;")"</f>
        <v>NOx-emissionsværdier (ton/TJ)</v>
      </c>
      <c r="M50" s="88"/>
      <c r="N50" s="74"/>
    </row>
  </sheetData>
  <mergeCells count="1">
    <mergeCell ref="C2:D2"/>
  </mergeCells>
  <dataValidations count="1">
    <dataValidation type="list" allowBlank="1" showInputMessage="1" showErrorMessage="1" promptTitle="Energienhed" prompt="Vælg her en passende energienhed" sqref="C3">
      <formula1>enhedsliste</formula1>
    </dataValidation>
  </dataValidations>
  <printOptions headings="1"/>
  <pageMargins left="0.45" right="0.45" top="0.7" bottom="0.55" header="0.5118110236220472" footer="0.33"/>
  <pageSetup cellComments="atEnd" fitToHeight="1" fitToWidth="1" horizontalDpi="600" verticalDpi="600" orientation="landscape" paperSize="9" scale="71" r:id="rId1"/>
  <headerFooter alignWithMargins="0">
    <oddHeader>&amp;LPlanEnergi&amp;C&amp;A</oddHeader>
    <oddFooter>&amp;L&amp;F&amp;C&amp;P&amp;R&amp;T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AY50"/>
  <sheetViews>
    <sheetView showGridLines="0" zoomScale="75" zoomScaleNormal="75" workbookViewId="0" topLeftCell="A16">
      <selection activeCell="Y40" sqref="Y40"/>
    </sheetView>
  </sheetViews>
  <sheetFormatPr defaultColWidth="9.33203125" defaultRowHeight="12.75"/>
  <cols>
    <col min="1" max="1" width="6.5" style="0" customWidth="1"/>
    <col min="2" max="2" width="6.16015625" style="0" customWidth="1"/>
    <col min="3" max="3" width="6.83203125" style="0" customWidth="1"/>
    <col min="4" max="4" width="7.16015625" style="0" customWidth="1"/>
    <col min="5" max="11" width="5.83203125" style="0" customWidth="1"/>
    <col min="12" max="12" width="7.33203125" style="0" customWidth="1"/>
    <col min="13" max="13" width="23.16015625" style="0" customWidth="1"/>
    <col min="14" max="14" width="4.83203125" style="0" customWidth="1"/>
    <col min="15" max="15" width="6" style="0" customWidth="1"/>
    <col min="16" max="18" width="4.83203125" style="0" customWidth="1"/>
    <col min="19" max="19" width="7.16015625" style="0" customWidth="1"/>
    <col min="20" max="20" width="6.33203125" style="0" customWidth="1"/>
    <col min="21" max="21" width="7" style="0" customWidth="1"/>
    <col min="22" max="22" width="7.16015625" style="0" customWidth="1"/>
    <col min="23" max="23" width="6" style="0" customWidth="1"/>
    <col min="24" max="25" width="6.83203125" style="0" customWidth="1"/>
    <col min="26" max="32" width="5.83203125" style="0" customWidth="1"/>
    <col min="33" max="51" width="0" style="0" hidden="1" customWidth="1"/>
  </cols>
  <sheetData>
    <row r="1" spans="1:32" ht="12.75">
      <c r="A1" s="1" t="s">
        <v>0</v>
      </c>
      <c r="B1" s="2"/>
      <c r="C1" s="2" t="s">
        <v>1</v>
      </c>
      <c r="D1" s="3"/>
      <c r="E1" s="1" t="s">
        <v>70</v>
      </c>
      <c r="F1" s="2"/>
      <c r="G1" s="2"/>
      <c r="H1" s="2"/>
      <c r="I1" s="3">
        <v>4318</v>
      </c>
      <c r="S1" s="7" t="s">
        <v>82</v>
      </c>
      <c r="T1" s="7">
        <v>0.155</v>
      </c>
      <c r="U1" s="7"/>
      <c r="V1" s="7"/>
      <c r="W1" s="6">
        <f>(11.1+2.8+0.095)*0.175</f>
        <v>2.4491249999999996</v>
      </c>
      <c r="X1" s="6">
        <f>(11.1+2.8+0.095)*0.825</f>
        <v>11.545874999999999</v>
      </c>
      <c r="Y1" s="7"/>
      <c r="Z1" s="8">
        <f>0.49+0.039+0.001+17.273+2.177+0.078+0.972+0.019</f>
        <v>21.049</v>
      </c>
      <c r="AA1" s="9">
        <f>3.46+2.52</f>
        <v>5.98</v>
      </c>
      <c r="AB1" s="9">
        <f>23.39+0.457+0.101+0.383</f>
        <v>24.331</v>
      </c>
      <c r="AC1" s="9">
        <f>10.612+0.159+0.087+0.25+0.707+0.672</f>
        <v>12.487000000000002</v>
      </c>
      <c r="AD1" s="10">
        <f>7.557+0.296+2.203+0.128+0.838</f>
        <v>11.022</v>
      </c>
      <c r="AE1" s="9">
        <f>6.365+0.933+2.15+0.979+1.449+0.821+1.82+0.669</f>
        <v>15.186</v>
      </c>
      <c r="AF1" s="108"/>
    </row>
    <row r="2" spans="1:32" ht="12.75">
      <c r="A2" s="4" t="s">
        <v>2</v>
      </c>
      <c r="B2" s="5"/>
      <c r="C2" s="153">
        <v>1999</v>
      </c>
      <c r="D2" s="154"/>
      <c r="E2" s="4"/>
      <c r="F2" s="5"/>
      <c r="G2" s="5"/>
      <c r="H2" s="5"/>
      <c r="I2" s="89"/>
      <c r="S2" s="7" t="s">
        <v>81</v>
      </c>
      <c r="T2" s="7">
        <v>0.118</v>
      </c>
      <c r="U2" s="7"/>
      <c r="V2" s="7"/>
      <c r="W2" s="6">
        <f>(0.184+8.101+1.54+0.165)*0.175</f>
        <v>1.7482499999999996</v>
      </c>
      <c r="X2" s="6">
        <f>(0.184+8.101+1.54+0.165)*0.825</f>
        <v>8.241749999999998</v>
      </c>
      <c r="Y2" s="7"/>
      <c r="Z2" s="6">
        <f>0.49+0.05+0.001+17.273+4.963+0.118+7.032+0.118</f>
        <v>30.044999999999998</v>
      </c>
      <c r="AA2" s="7">
        <f>3.462+3.799</f>
        <v>7.261</v>
      </c>
      <c r="AB2" s="7">
        <f>17.321+0.29+0.101+0.383</f>
        <v>18.095</v>
      </c>
      <c r="AC2" s="9">
        <f>10.612+0.159+0.087+0.25+0.707+0.672</f>
        <v>12.487000000000002</v>
      </c>
      <c r="AD2" s="10">
        <f>7.557+0.296+2.203+0.128+0.838</f>
        <v>11.022</v>
      </c>
      <c r="AE2" s="9">
        <f>6.365+0.933+2.15+0.979+1.449+0.821+1.82+0.669</f>
        <v>15.186</v>
      </c>
      <c r="AF2" s="108"/>
    </row>
    <row r="3" spans="1:26" ht="13.5" thickBot="1">
      <c r="A3" s="11" t="s">
        <v>3</v>
      </c>
      <c r="B3" s="12"/>
      <c r="C3" s="12" t="s">
        <v>4</v>
      </c>
      <c r="D3" s="13"/>
      <c r="E3" s="11"/>
      <c r="F3" s="12"/>
      <c r="G3" s="12"/>
      <c r="H3" s="12"/>
      <c r="I3" s="13"/>
      <c r="W3" s="46"/>
      <c r="X3" s="46"/>
      <c r="Z3" s="46"/>
    </row>
    <row r="4" spans="1:35" ht="13.5" thickBot="1">
      <c r="A4" s="14"/>
      <c r="B4" s="2"/>
      <c r="C4" s="2"/>
      <c r="D4" s="15"/>
      <c r="E4" s="15"/>
      <c r="F4" s="15"/>
      <c r="G4" s="15"/>
      <c r="H4" s="15"/>
      <c r="I4" s="15"/>
      <c r="J4" s="15"/>
      <c r="K4" s="15"/>
      <c r="L4" s="15"/>
      <c r="M4" s="16" t="str">
        <f>"Energibalance, "&amp;sted&amp;" "&amp;år</f>
        <v>Energibalance, Samsø 1999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7"/>
      <c r="AI4" t="s">
        <v>83</v>
      </c>
    </row>
    <row r="5" spans="1:49" ht="13.5" thickBot="1">
      <c r="A5" s="14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6</v>
      </c>
      <c r="N5" s="18" t="s">
        <v>7</v>
      </c>
      <c r="O5" s="18"/>
      <c r="P5" s="18"/>
      <c r="Q5" s="18"/>
      <c r="R5" s="18"/>
      <c r="S5" s="14" t="s">
        <v>8</v>
      </c>
      <c r="T5" s="20"/>
      <c r="U5" s="18" t="s">
        <v>9</v>
      </c>
      <c r="V5" s="18"/>
      <c r="W5" s="14" t="s">
        <v>10</v>
      </c>
      <c r="X5" s="18"/>
      <c r="Y5" s="18"/>
      <c r="Z5" s="18"/>
      <c r="AA5" s="18"/>
      <c r="AB5" s="18"/>
      <c r="AC5" s="18"/>
      <c r="AD5" s="18"/>
      <c r="AE5" s="18"/>
      <c r="AF5" s="20"/>
      <c r="AI5" t="str">
        <f>A5</f>
        <v>Brændsel</v>
      </c>
      <c r="AU5" t="str">
        <f>S5</f>
        <v>El-net</v>
      </c>
      <c r="AW5" t="str">
        <f>U5</f>
        <v>Fjv-net</v>
      </c>
    </row>
    <row r="6" spans="1:51" s="28" customFormat="1" ht="62.25" customHeight="1" thickBot="1">
      <c r="A6" s="21" t="s">
        <v>11</v>
      </c>
      <c r="B6" s="22" t="s">
        <v>12</v>
      </c>
      <c r="C6" s="22" t="s">
        <v>13</v>
      </c>
      <c r="D6" s="23" t="s">
        <v>14</v>
      </c>
      <c r="E6" s="23" t="s">
        <v>15</v>
      </c>
      <c r="F6" s="23" t="s">
        <v>16</v>
      </c>
      <c r="G6" s="23" t="s">
        <v>17</v>
      </c>
      <c r="H6" s="23" t="s">
        <v>18</v>
      </c>
      <c r="I6" s="23" t="s">
        <v>19</v>
      </c>
      <c r="J6" s="23" t="s">
        <v>20</v>
      </c>
      <c r="K6" s="23" t="s">
        <v>21</v>
      </c>
      <c r="L6" s="24" t="s">
        <v>22</v>
      </c>
      <c r="M6" s="25" t="s">
        <v>23</v>
      </c>
      <c r="N6" s="22" t="s">
        <v>24</v>
      </c>
      <c r="O6" s="23" t="s">
        <v>25</v>
      </c>
      <c r="P6" s="24" t="s">
        <v>26</v>
      </c>
      <c r="Q6" s="23" t="s">
        <v>8</v>
      </c>
      <c r="R6" s="26" t="s">
        <v>9</v>
      </c>
      <c r="S6" s="21" t="s">
        <v>27</v>
      </c>
      <c r="T6" s="27" t="s">
        <v>28</v>
      </c>
      <c r="U6" s="22" t="s">
        <v>27</v>
      </c>
      <c r="V6" s="24" t="s">
        <v>28</v>
      </c>
      <c r="W6" s="21" t="s">
        <v>29</v>
      </c>
      <c r="X6" s="23" t="s">
        <v>30</v>
      </c>
      <c r="Y6" s="23" t="s">
        <v>31</v>
      </c>
      <c r="Z6" s="23" t="s">
        <v>75</v>
      </c>
      <c r="AA6" s="23" t="s">
        <v>76</v>
      </c>
      <c r="AB6" s="23" t="s">
        <v>77</v>
      </c>
      <c r="AC6" s="23" t="s">
        <v>78</v>
      </c>
      <c r="AD6" s="24" t="s">
        <v>79</v>
      </c>
      <c r="AE6" s="24" t="s">
        <v>80</v>
      </c>
      <c r="AF6" s="27" t="s">
        <v>32</v>
      </c>
      <c r="AI6" s="28" t="str">
        <f>A6</f>
        <v>elimport</v>
      </c>
      <c r="AJ6" s="28" t="str">
        <f aca="true" t="shared" si="0" ref="AJ6:AS6">B6</f>
        <v>LPG og petroleum</v>
      </c>
      <c r="AK6" s="28" t="str">
        <f t="shared" si="0"/>
        <v>Olie</v>
      </c>
      <c r="AL6" s="28" t="str">
        <f t="shared" si="0"/>
        <v>Diesel</v>
      </c>
      <c r="AM6" s="28" t="str">
        <f t="shared" si="0"/>
        <v>Benzin</v>
      </c>
      <c r="AN6" s="28" t="str">
        <f t="shared" si="0"/>
        <v>Halm</v>
      </c>
      <c r="AO6" s="28" t="str">
        <f t="shared" si="0"/>
        <v>Træpiller</v>
      </c>
      <c r="AP6" s="28" t="str">
        <f t="shared" si="0"/>
        <v>Træ og træflis</v>
      </c>
      <c r="AQ6" s="28" t="str">
        <f t="shared" si="0"/>
        <v>Solvarme</v>
      </c>
      <c r="AR6" s="28" t="str">
        <f t="shared" si="0"/>
        <v>Vind</v>
      </c>
      <c r="AS6" s="28" t="str">
        <f t="shared" si="0"/>
        <v>Biogas</v>
      </c>
      <c r="AT6" s="28" t="str">
        <f>L6</f>
        <v>Samlet</v>
      </c>
      <c r="AU6" s="28" t="str">
        <f>S6</f>
        <v>ab værk</v>
      </c>
      <c r="AV6" s="28" t="str">
        <f>T6</f>
        <v>an forbruger</v>
      </c>
      <c r="AW6" s="28" t="str">
        <f>U6</f>
        <v>ab værk</v>
      </c>
      <c r="AX6" s="28" t="str">
        <f>V6</f>
        <v>an forbruger</v>
      </c>
      <c r="AY6" s="28" t="s">
        <v>84</v>
      </c>
    </row>
    <row r="7" spans="1:51" ht="12.75">
      <c r="A7" s="29"/>
      <c r="B7" s="30">
        <f>2.26+0.14</f>
        <v>2.4</v>
      </c>
      <c r="C7" s="30"/>
      <c r="D7" s="31"/>
      <c r="E7" s="31"/>
      <c r="F7" s="31"/>
      <c r="G7" s="31"/>
      <c r="H7" s="31"/>
      <c r="I7" s="31"/>
      <c r="J7" s="31"/>
      <c r="K7" s="31"/>
      <c r="L7" s="32">
        <f>SUM(A7:K7)</f>
        <v>2.4</v>
      </c>
      <c r="M7" s="33" t="s">
        <v>33</v>
      </c>
      <c r="N7" s="34"/>
      <c r="O7" s="35"/>
      <c r="P7" s="36">
        <v>38</v>
      </c>
      <c r="Q7" s="35"/>
      <c r="R7" s="37"/>
      <c r="S7" s="38"/>
      <c r="T7" s="39"/>
      <c r="U7" s="40"/>
      <c r="V7" s="41"/>
      <c r="W7" s="38"/>
      <c r="X7" s="42"/>
      <c r="Y7" s="42"/>
      <c r="Z7" s="42">
        <f>L7*P7/100</f>
        <v>0.912</v>
      </c>
      <c r="AA7" s="42"/>
      <c r="AB7" s="42"/>
      <c r="AC7" s="42"/>
      <c r="AD7" s="41"/>
      <c r="AE7" s="41"/>
      <c r="AF7" s="39"/>
      <c r="AI7" s="46">
        <f aca="true" t="shared" si="1" ref="AI7:AS30">IF(A7&lt;&gt;0,$AT7,"")</f>
      </c>
      <c r="AJ7" s="46">
        <f t="shared" si="1"/>
        <v>2.4</v>
      </c>
      <c r="AK7" s="46">
        <f t="shared" si="1"/>
      </c>
      <c r="AL7" s="46">
        <f t="shared" si="1"/>
      </c>
      <c r="AM7" s="46">
        <f t="shared" si="1"/>
      </c>
      <c r="AN7" s="46">
        <f t="shared" si="1"/>
      </c>
      <c r="AO7" s="46">
        <f t="shared" si="1"/>
      </c>
      <c r="AP7" s="46">
        <f t="shared" si="1"/>
      </c>
      <c r="AQ7" s="46">
        <f t="shared" si="1"/>
      </c>
      <c r="AR7" s="46">
        <f t="shared" si="1"/>
      </c>
      <c r="AS7" s="46">
        <f t="shared" si="1"/>
      </c>
      <c r="AT7" s="46">
        <f>IF(L7&lt;&gt;0,IF(Y7=0,L7,AY7/P7*100),"")</f>
        <v>2.4</v>
      </c>
      <c r="AV7">
        <f>IF(T7&lt;&gt;0,AY7/P7*100,"")</f>
      </c>
      <c r="AY7" s="94">
        <f>SUM(W7,Y7:AF7)</f>
        <v>0.912</v>
      </c>
    </row>
    <row r="8" spans="1:51" ht="12.75">
      <c r="A8" s="29"/>
      <c r="B8" s="30"/>
      <c r="C8" s="30"/>
      <c r="D8" s="31"/>
      <c r="E8" s="31"/>
      <c r="F8" s="31"/>
      <c r="G8" s="31"/>
      <c r="H8" s="31"/>
      <c r="I8" s="31"/>
      <c r="J8" s="31"/>
      <c r="K8" s="31"/>
      <c r="L8" s="32">
        <f>SUM(A8:K8)</f>
        <v>0</v>
      </c>
      <c r="M8" s="33" t="s">
        <v>34</v>
      </c>
      <c r="N8" s="34"/>
      <c r="O8" s="35"/>
      <c r="P8" s="36">
        <v>44</v>
      </c>
      <c r="Q8" s="35">
        <v>97</v>
      </c>
      <c r="R8" s="43"/>
      <c r="S8" s="38">
        <f>T8/Q8*100*-1</f>
        <v>-5.961268041237114</v>
      </c>
      <c r="T8" s="39">
        <f>SUM(W8:AF8)/P8*100</f>
        <v>5.782430000000001</v>
      </c>
      <c r="U8" s="40"/>
      <c r="V8" s="41"/>
      <c r="W8" s="38"/>
      <c r="X8" s="42"/>
      <c r="Y8" s="42"/>
      <c r="Z8" s="42">
        <f>Z2*15.5%*P8/100</f>
        <v>2.0490690000000003</v>
      </c>
      <c r="AA8" s="42">
        <f>AA2*15.5%*P8/100</f>
        <v>0.49520020000000003</v>
      </c>
      <c r="AB8" s="42"/>
      <c r="AC8" s="42"/>
      <c r="AD8" s="41"/>
      <c r="AE8" s="41"/>
      <c r="AF8" s="39"/>
      <c r="AI8" s="46">
        <f t="shared" si="1"/>
      </c>
      <c r="AJ8" s="46">
        <f t="shared" si="1"/>
      </c>
      <c r="AK8" s="46">
        <f t="shared" si="1"/>
      </c>
      <c r="AL8" s="46">
        <f t="shared" si="1"/>
      </c>
      <c r="AM8" s="46">
        <f t="shared" si="1"/>
      </c>
      <c r="AN8" s="46">
        <f t="shared" si="1"/>
      </c>
      <c r="AO8" s="46">
        <f t="shared" si="1"/>
      </c>
      <c r="AP8" s="46">
        <f t="shared" si="1"/>
      </c>
      <c r="AQ8" s="46">
        <f t="shared" si="1"/>
      </c>
      <c r="AR8" s="46">
        <f t="shared" si="1"/>
      </c>
      <c r="AS8" s="46">
        <f t="shared" si="1"/>
      </c>
      <c r="AT8" s="46">
        <f>IF(L8&lt;&gt;0,IF(Y8=0,L8,AY8/P8*100),"")</f>
      </c>
      <c r="AU8" s="94">
        <f>AV8/Q8*100*-1</f>
        <v>-5.961268041237114</v>
      </c>
      <c r="AV8" s="94">
        <f aca="true" t="shared" si="2" ref="AV8:AV38">IF(T8&lt;&gt;0,AY8/P8*100,"")</f>
        <v>5.782430000000001</v>
      </c>
      <c r="AY8" s="94">
        <f aca="true" t="shared" si="3" ref="AY8:AY37">SUM(W8,Y8:AF8)</f>
        <v>2.5442692000000005</v>
      </c>
    </row>
    <row r="9" spans="1:51" ht="12.75">
      <c r="A9" s="29"/>
      <c r="B9" s="30"/>
      <c r="C9" s="30"/>
      <c r="D9" s="31"/>
      <c r="E9" s="31"/>
      <c r="F9" s="31"/>
      <c r="G9" s="31"/>
      <c r="H9" s="31"/>
      <c r="I9" s="31"/>
      <c r="J9" s="31"/>
      <c r="K9" s="31"/>
      <c r="L9" s="32">
        <f>SUM(A9:K9)</f>
        <v>0</v>
      </c>
      <c r="M9" s="33" t="s">
        <v>35</v>
      </c>
      <c r="N9" s="34"/>
      <c r="O9" s="35"/>
      <c r="P9" s="36">
        <v>90</v>
      </c>
      <c r="Q9" s="35">
        <f>$Q$8</f>
        <v>97</v>
      </c>
      <c r="R9" s="43"/>
      <c r="S9" s="38">
        <f>T9/Q9*100*-1</f>
        <v>-1.8023195876288656</v>
      </c>
      <c r="T9" s="39">
        <f>W9/P9*100</f>
        <v>1.7482499999999994</v>
      </c>
      <c r="U9" s="40"/>
      <c r="V9" s="39"/>
      <c r="W9" s="40">
        <f>W$2*$P9/100</f>
        <v>1.5734249999999996</v>
      </c>
      <c r="X9" s="42"/>
      <c r="Y9" s="42"/>
      <c r="Z9" s="42"/>
      <c r="AA9" s="42"/>
      <c r="AB9" s="42"/>
      <c r="AC9" s="42"/>
      <c r="AD9" s="41"/>
      <c r="AE9" s="41"/>
      <c r="AF9" s="39"/>
      <c r="AI9" s="46">
        <f t="shared" si="1"/>
      </c>
      <c r="AJ9" s="46">
        <f t="shared" si="1"/>
      </c>
      <c r="AK9" s="46">
        <f t="shared" si="1"/>
      </c>
      <c r="AL9" s="46">
        <f t="shared" si="1"/>
      </c>
      <c r="AM9" s="46">
        <f t="shared" si="1"/>
      </c>
      <c r="AN9" s="46">
        <f t="shared" si="1"/>
      </c>
      <c r="AO9" s="46">
        <f t="shared" si="1"/>
      </c>
      <c r="AP9" s="46">
        <f t="shared" si="1"/>
      </c>
      <c r="AQ9" s="46">
        <f t="shared" si="1"/>
      </c>
      <c r="AR9" s="46">
        <f t="shared" si="1"/>
      </c>
      <c r="AS9" s="46">
        <f t="shared" si="1"/>
      </c>
      <c r="AT9" s="46">
        <f>IF(L9&lt;&gt;0,IF(Y9=0,L9,AY9/P9*100),"")</f>
      </c>
      <c r="AU9" s="94">
        <f>AV9/Q9*100*-1</f>
        <v>-1.8023195876288656</v>
      </c>
      <c r="AV9" s="94">
        <f t="shared" si="2"/>
        <v>1.7482499999999994</v>
      </c>
      <c r="AY9" s="94">
        <f t="shared" si="3"/>
        <v>1.5734249999999996</v>
      </c>
    </row>
    <row r="10" spans="1:51" ht="12.75">
      <c r="A10" s="29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2"/>
      <c r="M10" s="33" t="s">
        <v>36</v>
      </c>
      <c r="N10" s="34"/>
      <c r="O10" s="35"/>
      <c r="P10" s="36">
        <v>100</v>
      </c>
      <c r="Q10" s="35">
        <f>$Q$8</f>
        <v>97</v>
      </c>
      <c r="R10" s="43"/>
      <c r="S10" s="38">
        <f>T10/Q10*100*-1</f>
        <v>-8.49664948453608</v>
      </c>
      <c r="T10" s="39">
        <f>X10/P10*100</f>
        <v>8.241749999999998</v>
      </c>
      <c r="U10" s="40"/>
      <c r="V10" s="41"/>
      <c r="W10" s="38"/>
      <c r="X10" s="40">
        <f>X$2*$P10/100</f>
        <v>8.241749999999998</v>
      </c>
      <c r="Y10" s="42">
        <f>X10*$Y$40</f>
        <v>8.884383248467213</v>
      </c>
      <c r="Z10" s="42"/>
      <c r="AA10" s="42"/>
      <c r="AB10" s="42"/>
      <c r="AC10" s="42"/>
      <c r="AD10" s="41"/>
      <c r="AE10" s="41"/>
      <c r="AF10" s="39"/>
      <c r="AI10" s="46">
        <f t="shared" si="1"/>
      </c>
      <c r="AJ10" s="46">
        <f t="shared" si="1"/>
      </c>
      <c r="AK10" s="46">
        <f t="shared" si="1"/>
      </c>
      <c r="AL10" s="46">
        <f t="shared" si="1"/>
      </c>
      <c r="AM10" s="46">
        <f t="shared" si="1"/>
      </c>
      <c r="AN10" s="46">
        <f t="shared" si="1"/>
      </c>
      <c r="AO10" s="46">
        <f t="shared" si="1"/>
      </c>
      <c r="AP10" s="46">
        <f t="shared" si="1"/>
      </c>
      <c r="AQ10" s="46">
        <f t="shared" si="1"/>
      </c>
      <c r="AR10" s="46">
        <f t="shared" si="1"/>
      </c>
      <c r="AS10" s="46">
        <f t="shared" si="1"/>
      </c>
      <c r="AT10" s="46">
        <f>IF(L10&lt;&gt;0,IF(Y10=0,L10,AY10/P10*100),"")</f>
      </c>
      <c r="AU10" s="94">
        <f>AV10/Q10*100*-1</f>
        <v>-9.159157988110529</v>
      </c>
      <c r="AV10" s="94">
        <f t="shared" si="2"/>
        <v>8.884383248467213</v>
      </c>
      <c r="AY10" s="94">
        <f t="shared" si="3"/>
        <v>8.884383248467213</v>
      </c>
    </row>
    <row r="11" spans="1:51" ht="12.75">
      <c r="A11" s="29"/>
      <c r="B11" s="30"/>
      <c r="C11" s="30"/>
      <c r="D11" s="31"/>
      <c r="E11" s="31"/>
      <c r="F11" s="31"/>
      <c r="G11" s="31"/>
      <c r="H11" s="31"/>
      <c r="I11" s="31">
        <v>0.18</v>
      </c>
      <c r="J11" s="31"/>
      <c r="K11" s="31"/>
      <c r="L11" s="32">
        <f>SUM(A11:K11)</f>
        <v>0.18</v>
      </c>
      <c r="M11" s="33" t="s">
        <v>37</v>
      </c>
      <c r="N11" s="34"/>
      <c r="O11" s="35"/>
      <c r="P11" s="36">
        <v>100</v>
      </c>
      <c r="Q11" s="35"/>
      <c r="R11" s="37"/>
      <c r="S11" s="38"/>
      <c r="T11" s="39"/>
      <c r="U11" s="40"/>
      <c r="V11" s="41"/>
      <c r="W11" s="38">
        <f>L11*P11/100*0.8</f>
        <v>0.144</v>
      </c>
      <c r="X11" s="42">
        <f>L11*P11/100*0.2</f>
        <v>0.036</v>
      </c>
      <c r="Y11" s="42">
        <f>X11*$Y$40</f>
        <v>0.038807024836329626</v>
      </c>
      <c r="Z11" s="42"/>
      <c r="AA11" s="42"/>
      <c r="AB11" s="42"/>
      <c r="AC11" s="42"/>
      <c r="AD11" s="41"/>
      <c r="AE11" s="41"/>
      <c r="AF11" s="39"/>
      <c r="AI11" s="46">
        <f t="shared" si="1"/>
      </c>
      <c r="AJ11" s="46">
        <f t="shared" si="1"/>
      </c>
      <c r="AK11" s="46">
        <f t="shared" si="1"/>
      </c>
      <c r="AL11" s="46">
        <f t="shared" si="1"/>
      </c>
      <c r="AM11" s="46">
        <f t="shared" si="1"/>
      </c>
      <c r="AN11" s="46">
        <f t="shared" si="1"/>
      </c>
      <c r="AO11" s="46">
        <f t="shared" si="1"/>
      </c>
      <c r="AP11" s="46">
        <f t="shared" si="1"/>
      </c>
      <c r="AQ11" s="46">
        <f t="shared" si="1"/>
        <v>0.1828070248363296</v>
      </c>
      <c r="AR11" s="46">
        <f t="shared" si="1"/>
      </c>
      <c r="AS11" s="46">
        <f t="shared" si="1"/>
      </c>
      <c r="AT11" s="46">
        <f>IF(L11&lt;&gt;0,IF(Y11=0,L11,AY11/P11*100),"")</f>
        <v>0.1828070248363296</v>
      </c>
      <c r="AV11" s="94">
        <f t="shared" si="2"/>
      </c>
      <c r="AY11" s="94">
        <f t="shared" si="3"/>
        <v>0.1828070248363296</v>
      </c>
    </row>
    <row r="12" spans="1:51" ht="12.75">
      <c r="A12" s="29"/>
      <c r="B12" s="30"/>
      <c r="C12" s="30"/>
      <c r="D12" s="31"/>
      <c r="E12" s="31"/>
      <c r="F12" s="31"/>
      <c r="G12" s="31"/>
      <c r="H12" s="31"/>
      <c r="I12" s="31"/>
      <c r="J12" s="31">
        <v>5.5</v>
      </c>
      <c r="K12" s="31"/>
      <c r="L12" s="32">
        <f>SUM(A12:K12)</f>
        <v>5.5</v>
      </c>
      <c r="M12" s="33" t="s">
        <v>38</v>
      </c>
      <c r="N12" s="34">
        <v>100</v>
      </c>
      <c r="O12" s="35"/>
      <c r="P12" s="36"/>
      <c r="Q12" s="35"/>
      <c r="R12" s="37"/>
      <c r="S12" s="38">
        <f>L12*N12/100</f>
        <v>5.5</v>
      </c>
      <c r="T12" s="39"/>
      <c r="U12" s="40"/>
      <c r="V12" s="41"/>
      <c r="W12" s="38"/>
      <c r="X12" s="42"/>
      <c r="Y12" s="42"/>
      <c r="Z12" s="42"/>
      <c r="AA12" s="42"/>
      <c r="AB12" s="42"/>
      <c r="AC12" s="42"/>
      <c r="AD12" s="41"/>
      <c r="AE12" s="41"/>
      <c r="AF12" s="39"/>
      <c r="AI12" s="46">
        <f t="shared" si="1"/>
      </c>
      <c r="AJ12" s="46">
        <f t="shared" si="1"/>
      </c>
      <c r="AK12" s="46">
        <f t="shared" si="1"/>
      </c>
      <c r="AL12" s="46">
        <f t="shared" si="1"/>
      </c>
      <c r="AM12" s="46">
        <f t="shared" si="1"/>
      </c>
      <c r="AN12" s="46">
        <f t="shared" si="1"/>
      </c>
      <c r="AO12" s="46">
        <f t="shared" si="1"/>
      </c>
      <c r="AP12" s="46">
        <f t="shared" si="1"/>
      </c>
      <c r="AQ12" s="46">
        <f t="shared" si="1"/>
      </c>
      <c r="AR12" s="46">
        <f t="shared" si="1"/>
        <v>5.5</v>
      </c>
      <c r="AS12" s="46">
        <f t="shared" si="1"/>
      </c>
      <c r="AT12" s="46">
        <f aca="true" t="shared" si="4" ref="AT12:AT17">IF(L12&lt;&gt;0,IF(Y12=0,L12,AY12/P12*100),"")</f>
        <v>5.5</v>
      </c>
      <c r="AU12">
        <f>AT12*N12/100</f>
        <v>5.5</v>
      </c>
      <c r="AV12" s="94">
        <f t="shared" si="2"/>
      </c>
      <c r="AY12" s="94">
        <f t="shared" si="3"/>
        <v>0</v>
      </c>
    </row>
    <row r="13" spans="1:51" ht="12.75">
      <c r="A13" s="29">
        <f>S13/N13*100</f>
        <v>101.92680412371134</v>
      </c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2">
        <f>SUM(A13:K13)</f>
        <v>101.92680412371134</v>
      </c>
      <c r="M13" s="33" t="s">
        <v>39</v>
      </c>
      <c r="N13" s="34">
        <v>100</v>
      </c>
      <c r="O13" s="35"/>
      <c r="P13" s="36"/>
      <c r="Q13" s="35"/>
      <c r="R13" s="37"/>
      <c r="S13" s="38">
        <f>-SUM(S7:S12,S14:S38)</f>
        <v>101.92680412371134</v>
      </c>
      <c r="T13" s="39"/>
      <c r="U13" s="40"/>
      <c r="V13" s="41"/>
      <c r="W13" s="38"/>
      <c r="X13" s="42"/>
      <c r="Y13" s="42"/>
      <c r="Z13" s="42"/>
      <c r="AA13" s="42"/>
      <c r="AB13" s="42"/>
      <c r="AC13" s="42"/>
      <c r="AD13" s="41"/>
      <c r="AE13" s="41"/>
      <c r="AF13" s="39"/>
      <c r="AI13" s="46">
        <f t="shared" si="1"/>
        <v>102.59713805305373</v>
      </c>
      <c r="AJ13" s="46">
        <f t="shared" si="1"/>
      </c>
      <c r="AK13" s="46">
        <f t="shared" si="1"/>
      </c>
      <c r="AL13" s="46">
        <f t="shared" si="1"/>
      </c>
      <c r="AM13" s="46">
        <f t="shared" si="1"/>
      </c>
      <c r="AN13" s="46">
        <f t="shared" si="1"/>
      </c>
      <c r="AO13" s="46">
        <f t="shared" si="1"/>
      </c>
      <c r="AP13" s="46">
        <f t="shared" si="1"/>
      </c>
      <c r="AQ13" s="46">
        <f t="shared" si="1"/>
      </c>
      <c r="AR13" s="46">
        <f t="shared" si="1"/>
      </c>
      <c r="AS13" s="46">
        <f t="shared" si="1"/>
      </c>
      <c r="AT13" s="46">
        <f>AU13/N13*100</f>
        <v>102.59713805305373</v>
      </c>
      <c r="AU13" s="96">
        <f>-SUM(AU7:AU12,AU14:AU38)</f>
        <v>102.59713805305373</v>
      </c>
      <c r="AV13" s="94">
        <f t="shared" si="2"/>
      </c>
      <c r="AY13" s="94">
        <f t="shared" si="3"/>
        <v>0</v>
      </c>
    </row>
    <row r="14" spans="1:51" ht="12.75">
      <c r="A14" s="29"/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2">
        <f>SUM(A14:K14)</f>
        <v>0</v>
      </c>
      <c r="M14" s="33" t="s">
        <v>40</v>
      </c>
      <c r="N14" s="34">
        <v>100</v>
      </c>
      <c r="O14" s="35"/>
      <c r="P14" s="36"/>
      <c r="Q14" s="35"/>
      <c r="R14" s="37"/>
      <c r="S14" s="38"/>
      <c r="T14" s="39"/>
      <c r="U14" s="40"/>
      <c r="V14" s="41"/>
      <c r="W14" s="38"/>
      <c r="X14" s="42"/>
      <c r="Y14" s="42"/>
      <c r="Z14" s="42"/>
      <c r="AA14" s="42"/>
      <c r="AB14" s="42"/>
      <c r="AC14" s="42"/>
      <c r="AD14" s="42"/>
      <c r="AE14" s="42"/>
      <c r="AF14" s="39"/>
      <c r="AI14" s="46">
        <f t="shared" si="1"/>
      </c>
      <c r="AJ14" s="46">
        <f t="shared" si="1"/>
      </c>
      <c r="AK14" s="46">
        <f t="shared" si="1"/>
      </c>
      <c r="AL14" s="46">
        <f t="shared" si="1"/>
      </c>
      <c r="AM14" s="46">
        <f t="shared" si="1"/>
      </c>
      <c r="AN14" s="46">
        <f t="shared" si="1"/>
      </c>
      <c r="AO14" s="46">
        <f t="shared" si="1"/>
      </c>
      <c r="AP14" s="46">
        <f t="shared" si="1"/>
      </c>
      <c r="AQ14" s="46">
        <f t="shared" si="1"/>
      </c>
      <c r="AR14" s="46">
        <f t="shared" si="1"/>
      </c>
      <c r="AS14" s="46">
        <f t="shared" si="1"/>
      </c>
      <c r="AT14" s="46">
        <f t="shared" si="4"/>
      </c>
      <c r="AV14" s="94">
        <f t="shared" si="2"/>
      </c>
      <c r="AY14" s="94">
        <f t="shared" si="3"/>
        <v>0</v>
      </c>
    </row>
    <row r="15" spans="1:51" ht="12.75">
      <c r="A15" s="29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2"/>
      <c r="M15" s="33" t="s">
        <v>41</v>
      </c>
      <c r="N15" s="34"/>
      <c r="O15" s="35">
        <v>50</v>
      </c>
      <c r="P15" s="36"/>
      <c r="Q15" s="35">
        <f>$Q$8</f>
        <v>97</v>
      </c>
      <c r="R15" s="5"/>
      <c r="S15" s="38">
        <f>T15/Q15*100*-1</f>
        <v>-16.59960824742268</v>
      </c>
      <c r="T15" s="39">
        <f>SUM(W15:AF15)/O15*100</f>
        <v>16.101619999999997</v>
      </c>
      <c r="U15" s="40"/>
      <c r="V15" s="41"/>
      <c r="W15" s="38"/>
      <c r="X15" s="42"/>
      <c r="Y15" s="42"/>
      <c r="Z15" s="42">
        <f>Z$2*15.5%*$O15/100</f>
        <v>2.3284875</v>
      </c>
      <c r="AA15" s="42">
        <f>AA$2*15.5%*$O15/100</f>
        <v>0.5627275</v>
      </c>
      <c r="AB15" s="42">
        <f>AB$2*15%*$O15%</f>
        <v>1.357125</v>
      </c>
      <c r="AC15" s="42">
        <f>AC$2*6%*$O15%</f>
        <v>0.37461000000000005</v>
      </c>
      <c r="AD15" s="42">
        <f>AD$2*25%*$O15%</f>
        <v>1.37775</v>
      </c>
      <c r="AE15" s="42">
        <f>AE$2*27%*$O15%</f>
        <v>2.05011</v>
      </c>
      <c r="AF15" s="39"/>
      <c r="AI15" s="46">
        <f t="shared" si="1"/>
      </c>
      <c r="AJ15" s="46">
        <f t="shared" si="1"/>
      </c>
      <c r="AK15" s="46">
        <f t="shared" si="1"/>
      </c>
      <c r="AL15" s="46">
        <f t="shared" si="1"/>
      </c>
      <c r="AM15" s="46">
        <f t="shared" si="1"/>
      </c>
      <c r="AN15" s="46">
        <f t="shared" si="1"/>
      </c>
      <c r="AO15" s="46">
        <f t="shared" si="1"/>
      </c>
      <c r="AP15" s="46">
        <f t="shared" si="1"/>
      </c>
      <c r="AQ15" s="46">
        <f t="shared" si="1"/>
      </c>
      <c r="AR15" s="46">
        <f t="shared" si="1"/>
      </c>
      <c r="AS15" s="46">
        <f t="shared" si="1"/>
      </c>
      <c r="AT15" s="46">
        <f t="shared" si="4"/>
      </c>
      <c r="AU15" s="94">
        <f>AV15/Q15*100*-1</f>
        <v>-16.59960824742268</v>
      </c>
      <c r="AV15" s="94">
        <f>IF(T15&lt;&gt;0,AY15/O15*100,"")</f>
        <v>16.101619999999997</v>
      </c>
      <c r="AY15" s="94">
        <f t="shared" si="3"/>
        <v>8.050809999999998</v>
      </c>
    </row>
    <row r="16" spans="1:51" ht="12.75">
      <c r="A16" s="29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2"/>
      <c r="M16" s="33" t="s">
        <v>42</v>
      </c>
      <c r="N16" s="34"/>
      <c r="O16" s="35">
        <v>150</v>
      </c>
      <c r="P16" s="36"/>
      <c r="Q16" s="35">
        <f>$Q$8</f>
        <v>97</v>
      </c>
      <c r="R16" s="43"/>
      <c r="S16" s="38">
        <f>T16/Q16*100*-1</f>
        <v>-11.809245360824743</v>
      </c>
      <c r="T16" s="39">
        <f>SUM(W16:AF16)/O16*100</f>
        <v>11.454968000000001</v>
      </c>
      <c r="U16" s="40"/>
      <c r="V16" s="41"/>
      <c r="W16" s="38"/>
      <c r="X16" s="42"/>
      <c r="Y16" s="42"/>
      <c r="Z16" s="42">
        <f>Z$2*18.3%*$O16/100</f>
        <v>8.2473525</v>
      </c>
      <c r="AA16" s="42">
        <f>AA$2*18.3%*$O16/100</f>
        <v>1.9931444999999999</v>
      </c>
      <c r="AB16" s="42">
        <f>AB$2*3%*$O16%</f>
        <v>0.8142749999999999</v>
      </c>
      <c r="AC16" s="42">
        <f>AC$2*8%*$O16%</f>
        <v>1.4984400000000002</v>
      </c>
      <c r="AD16" s="42">
        <f>AD$2*28%*$O16%</f>
        <v>4.629240000000001</v>
      </c>
      <c r="AE16" s="42">
        <f>AE$2*0%*$O16%</f>
        <v>0</v>
      </c>
      <c r="AF16" s="39"/>
      <c r="AI16" s="46">
        <f t="shared" si="1"/>
      </c>
      <c r="AJ16" s="46">
        <f t="shared" si="1"/>
      </c>
      <c r="AK16" s="46">
        <f t="shared" si="1"/>
      </c>
      <c r="AL16" s="46">
        <f t="shared" si="1"/>
      </c>
      <c r="AM16" s="46">
        <f t="shared" si="1"/>
      </c>
      <c r="AN16" s="46">
        <f t="shared" si="1"/>
      </c>
      <c r="AO16" s="46">
        <f t="shared" si="1"/>
      </c>
      <c r="AP16" s="46">
        <f t="shared" si="1"/>
      </c>
      <c r="AQ16" s="46">
        <f t="shared" si="1"/>
      </c>
      <c r="AR16" s="46">
        <f t="shared" si="1"/>
      </c>
      <c r="AS16" s="46">
        <f t="shared" si="1"/>
      </c>
      <c r="AT16" s="46">
        <f t="shared" si="4"/>
      </c>
      <c r="AU16" s="94">
        <f>AV16/Q16*100*-1</f>
        <v>-11.809245360824743</v>
      </c>
      <c r="AV16" s="94">
        <f>IF(T16&lt;&gt;0,AY16/O16*100,"")</f>
        <v>11.454968000000001</v>
      </c>
      <c r="AY16" s="94">
        <f t="shared" si="3"/>
        <v>17.182452</v>
      </c>
    </row>
    <row r="17" spans="1:51" ht="12.75">
      <c r="A17" s="29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2"/>
      <c r="M17" s="33" t="s">
        <v>43</v>
      </c>
      <c r="N17" s="34"/>
      <c r="O17" s="35">
        <v>85</v>
      </c>
      <c r="P17" s="36"/>
      <c r="Q17" s="35">
        <f>$Q$8</f>
        <v>97</v>
      </c>
      <c r="S17" s="38">
        <f>T17/Q17*100*-1</f>
        <v>-62.636063917525775</v>
      </c>
      <c r="T17" s="39">
        <f>SUM(W17:AF17)/O17*100</f>
        <v>60.756982</v>
      </c>
      <c r="U17" s="40"/>
      <c r="V17" s="41"/>
      <c r="W17" s="38"/>
      <c r="X17" s="42"/>
      <c r="Y17" s="42"/>
      <c r="Z17" s="42">
        <f>Z$2*50.7%*$O17%</f>
        <v>12.94789275</v>
      </c>
      <c r="AA17" s="42">
        <f>AA$2*50.7%*$O17%</f>
        <v>3.12912795</v>
      </c>
      <c r="AB17" s="42">
        <f>AB$2*82%*$O17%</f>
        <v>12.612214999999997</v>
      </c>
      <c r="AC17" s="42">
        <f>AC$2*86%*$O17%</f>
        <v>9.127997000000002</v>
      </c>
      <c r="AD17" s="42">
        <f>AD$2*47%*$O17%</f>
        <v>4.403289</v>
      </c>
      <c r="AE17" s="42">
        <f>AE$2*73%*$O17%</f>
        <v>9.422913</v>
      </c>
      <c r="AF17" s="39"/>
      <c r="AI17" s="46">
        <f t="shared" si="1"/>
      </c>
      <c r="AJ17" s="46">
        <f t="shared" si="1"/>
      </c>
      <c r="AK17" s="46">
        <f t="shared" si="1"/>
      </c>
      <c r="AL17" s="46">
        <f t="shared" si="1"/>
      </c>
      <c r="AM17" s="46">
        <f t="shared" si="1"/>
      </c>
      <c r="AN17" s="46">
        <f t="shared" si="1"/>
      </c>
      <c r="AO17" s="46">
        <f t="shared" si="1"/>
      </c>
      <c r="AP17" s="46">
        <f t="shared" si="1"/>
      </c>
      <c r="AQ17" s="46">
        <f t="shared" si="1"/>
      </c>
      <c r="AR17" s="46">
        <f t="shared" si="1"/>
      </c>
      <c r="AS17" s="46">
        <f t="shared" si="1"/>
      </c>
      <c r="AT17" s="46">
        <f t="shared" si="4"/>
      </c>
      <c r="AU17" s="94">
        <f>AV17/Q17*100*-1</f>
        <v>-62.636063917525775</v>
      </c>
      <c r="AV17" s="94">
        <f>IF(T17&lt;&gt;0,AY17/O17*100,"")</f>
        <v>60.756982</v>
      </c>
      <c r="AY17" s="94">
        <f t="shared" si="3"/>
        <v>51.6434347</v>
      </c>
    </row>
    <row r="18" spans="1:51" ht="12.75">
      <c r="A18" s="29"/>
      <c r="B18" s="30"/>
      <c r="C18" s="30"/>
      <c r="D18" s="31"/>
      <c r="E18" s="31"/>
      <c r="F18" s="31"/>
      <c r="G18" s="31">
        <f>6.21+1.98</f>
        <v>8.19</v>
      </c>
      <c r="H18" s="31"/>
      <c r="I18" s="31"/>
      <c r="J18" s="31"/>
      <c r="K18" s="31"/>
      <c r="L18" s="32">
        <f aca="true" t="shared" si="5" ref="L18:L24">SUM(A18:K18)</f>
        <v>8.19</v>
      </c>
      <c r="M18" s="33" t="s">
        <v>44</v>
      </c>
      <c r="N18" s="34"/>
      <c r="O18" s="35"/>
      <c r="P18" s="36">
        <v>70</v>
      </c>
      <c r="Q18" s="35"/>
      <c r="R18" s="37"/>
      <c r="S18" s="38"/>
      <c r="T18" s="39"/>
      <c r="U18" s="40"/>
      <c r="V18" s="41"/>
      <c r="W18" s="38">
        <f>L18*P18/100*0.175</f>
        <v>1.003275</v>
      </c>
      <c r="X18" s="42">
        <f>L18*P18/100*0.825</f>
        <v>4.729724999999999</v>
      </c>
      <c r="Y18" s="42">
        <f>X18*$Y$40</f>
        <v>5.098515431778031</v>
      </c>
      <c r="Z18" s="42"/>
      <c r="AA18" s="42"/>
      <c r="AB18" s="42"/>
      <c r="AC18" s="42"/>
      <c r="AD18" s="41"/>
      <c r="AE18" s="41"/>
      <c r="AF18" s="39"/>
      <c r="AI18" s="46">
        <f t="shared" si="1"/>
      </c>
      <c r="AJ18" s="46">
        <f t="shared" si="1"/>
      </c>
      <c r="AK18" s="46">
        <f t="shared" si="1"/>
      </c>
      <c r="AL18" s="46">
        <f t="shared" si="1"/>
      </c>
      <c r="AM18" s="46">
        <f t="shared" si="1"/>
      </c>
      <c r="AN18" s="46">
        <f t="shared" si="1"/>
      </c>
      <c r="AO18" s="46">
        <f t="shared" si="1"/>
        <v>8.716843473968616</v>
      </c>
      <c r="AP18" s="46">
        <f t="shared" si="1"/>
      </c>
      <c r="AQ18" s="46">
        <f t="shared" si="1"/>
      </c>
      <c r="AR18" s="46">
        <f t="shared" si="1"/>
      </c>
      <c r="AS18" s="46">
        <f t="shared" si="1"/>
      </c>
      <c r="AT18" s="46">
        <f>IF(L18&lt;&gt;0,IF(Y18=0,L18,AY18/P18*100),"")</f>
        <v>8.716843473968616</v>
      </c>
      <c r="AV18" s="94">
        <f t="shared" si="2"/>
      </c>
      <c r="AY18" s="94">
        <f t="shared" si="3"/>
        <v>6.101790431778031</v>
      </c>
    </row>
    <row r="19" spans="1:51" ht="12.75">
      <c r="A19" s="29"/>
      <c r="B19" s="30"/>
      <c r="C19" s="30">
        <v>148.4</v>
      </c>
      <c r="D19" s="31"/>
      <c r="E19" s="31"/>
      <c r="F19" s="31"/>
      <c r="G19" s="31"/>
      <c r="H19" s="31"/>
      <c r="I19" s="31"/>
      <c r="J19" s="31"/>
      <c r="K19" s="31"/>
      <c r="L19" s="32">
        <f t="shared" si="5"/>
        <v>148.4</v>
      </c>
      <c r="M19" s="33" t="s">
        <v>45</v>
      </c>
      <c r="N19" s="34"/>
      <c r="O19" s="35"/>
      <c r="P19" s="36">
        <v>70</v>
      </c>
      <c r="Q19" s="35"/>
      <c r="R19" s="37"/>
      <c r="S19" s="38"/>
      <c r="T19" s="39"/>
      <c r="U19" s="40"/>
      <c r="V19" s="41"/>
      <c r="W19" s="38">
        <f>L19*P19/100*0.175</f>
        <v>18.179</v>
      </c>
      <c r="X19" s="42">
        <f>L19*P19/100*0.825</f>
        <v>85.701</v>
      </c>
      <c r="Y19" s="42">
        <f>X19*$Y$40</f>
        <v>92.38335654161904</v>
      </c>
      <c r="Z19" s="42"/>
      <c r="AA19" s="42"/>
      <c r="AB19" s="42"/>
      <c r="AC19" s="42"/>
      <c r="AD19" s="41"/>
      <c r="AE19" s="41"/>
      <c r="AF19" s="39"/>
      <c r="AI19" s="46">
        <f t="shared" si="1"/>
      </c>
      <c r="AJ19" s="46">
        <f t="shared" si="1"/>
      </c>
      <c r="AK19" s="46">
        <f t="shared" si="1"/>
        <v>157.94622363088433</v>
      </c>
      <c r="AL19" s="46">
        <f t="shared" si="1"/>
      </c>
      <c r="AM19" s="46">
        <f t="shared" si="1"/>
      </c>
      <c r="AN19" s="46">
        <f t="shared" si="1"/>
      </c>
      <c r="AO19" s="46">
        <f t="shared" si="1"/>
      </c>
      <c r="AP19" s="46">
        <f t="shared" si="1"/>
      </c>
      <c r="AQ19" s="46">
        <f t="shared" si="1"/>
      </c>
      <c r="AR19" s="46">
        <f t="shared" si="1"/>
      </c>
      <c r="AS19" s="46">
        <f t="shared" si="1"/>
      </c>
      <c r="AT19" s="46">
        <f>IF(L19&lt;&gt;0,IF(Y19=0,L19,AY19/P19*100),"")</f>
        <v>157.94622363088433</v>
      </c>
      <c r="AV19" s="94">
        <f t="shared" si="2"/>
      </c>
      <c r="AY19" s="94">
        <f t="shared" si="3"/>
        <v>110.56235654161904</v>
      </c>
    </row>
    <row r="20" spans="1:51" ht="12.75">
      <c r="A20" s="29"/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33" t="s">
        <v>46</v>
      </c>
      <c r="N20" s="34"/>
      <c r="O20" s="35"/>
      <c r="P20" s="36">
        <v>250</v>
      </c>
      <c r="Q20" s="35">
        <f>$Q$8</f>
        <v>97</v>
      </c>
      <c r="S20" s="38">
        <f>T20/Q20*100*-1</f>
        <v>-0.12164948453608247</v>
      </c>
      <c r="T20" s="39">
        <f>T2</f>
        <v>0.118</v>
      </c>
      <c r="U20" s="40"/>
      <c r="V20" s="39"/>
      <c r="W20" s="38">
        <f>T20*P20/100*0.175</f>
        <v>0.051625</v>
      </c>
      <c r="X20" s="42">
        <f>T20*P20/100*0.825</f>
        <v>0.24337499999999998</v>
      </c>
      <c r="Y20" s="42">
        <f>X20*$Y$40</f>
        <v>0.2623516574872701</v>
      </c>
      <c r="Z20" s="42"/>
      <c r="AA20" s="42"/>
      <c r="AB20" s="42"/>
      <c r="AC20" s="42"/>
      <c r="AD20" s="41"/>
      <c r="AE20" s="41"/>
      <c r="AF20" s="39"/>
      <c r="AI20" s="46">
        <f t="shared" si="1"/>
      </c>
      <c r="AJ20" s="46">
        <f t="shared" si="1"/>
      </c>
      <c r="AK20" s="46">
        <f t="shared" si="1"/>
      </c>
      <c r="AL20" s="46">
        <f t="shared" si="1"/>
      </c>
      <c r="AM20" s="46">
        <f t="shared" si="1"/>
      </c>
      <c r="AN20" s="46">
        <f t="shared" si="1"/>
      </c>
      <c r="AO20" s="46">
        <f t="shared" si="1"/>
      </c>
      <c r="AP20" s="46">
        <f t="shared" si="1"/>
      </c>
      <c r="AQ20" s="46">
        <f t="shared" si="1"/>
      </c>
      <c r="AR20" s="46">
        <f t="shared" si="1"/>
      </c>
      <c r="AS20" s="46">
        <f t="shared" si="1"/>
      </c>
      <c r="AT20" s="46">
        <f>IF(L20&lt;&gt;0,IF(Y20=0,L20,AY20/P20*100),"")</f>
      </c>
      <c r="AU20" s="94">
        <f>AV20/Q20*100*-1</f>
        <v>-0.12947491030402888</v>
      </c>
      <c r="AV20" s="94">
        <f t="shared" si="2"/>
        <v>0.12559066299490804</v>
      </c>
      <c r="AY20" s="94">
        <f t="shared" si="3"/>
        <v>0.31397665748727005</v>
      </c>
    </row>
    <row r="21" spans="1:51" ht="12.75">
      <c r="A21" s="29"/>
      <c r="B21" s="30"/>
      <c r="C21" s="30"/>
      <c r="D21" s="31"/>
      <c r="E21" s="31"/>
      <c r="F21" s="31">
        <f>5.5</f>
        <v>5.5</v>
      </c>
      <c r="G21" s="31"/>
      <c r="H21" s="31"/>
      <c r="I21" s="31"/>
      <c r="J21" s="31"/>
      <c r="K21" s="31"/>
      <c r="L21" s="32">
        <f t="shared" si="5"/>
        <v>5.5</v>
      </c>
      <c r="M21" s="33" t="s">
        <v>47</v>
      </c>
      <c r="N21" s="34"/>
      <c r="O21" s="35"/>
      <c r="P21" s="36">
        <v>60</v>
      </c>
      <c r="Q21" s="35"/>
      <c r="R21" s="37"/>
      <c r="S21" s="38"/>
      <c r="T21" s="39"/>
      <c r="U21" s="40"/>
      <c r="V21" s="41"/>
      <c r="W21" s="38">
        <f>L21*P21/100*0.175</f>
        <v>0.5774999999999999</v>
      </c>
      <c r="X21" s="42">
        <f>L21*P21/100*0.825</f>
        <v>2.7224999999999997</v>
      </c>
      <c r="Y21" s="42">
        <f>X21*$Y$40</f>
        <v>2.934781253247428</v>
      </c>
      <c r="Z21" s="42"/>
      <c r="AA21" s="42"/>
      <c r="AB21" s="42"/>
      <c r="AC21" s="42"/>
      <c r="AD21" s="41"/>
      <c r="AE21" s="41"/>
      <c r="AF21" s="39"/>
      <c r="AI21" s="46">
        <f t="shared" si="1"/>
      </c>
      <c r="AJ21" s="46">
        <f t="shared" si="1"/>
      </c>
      <c r="AK21" s="46">
        <f t="shared" si="1"/>
      </c>
      <c r="AL21" s="46">
        <f t="shared" si="1"/>
      </c>
      <c r="AM21" s="46">
        <f t="shared" si="1"/>
      </c>
      <c r="AN21" s="46">
        <f t="shared" si="1"/>
        <v>5.853802088745714</v>
      </c>
      <c r="AO21" s="46">
        <f t="shared" si="1"/>
      </c>
      <c r="AP21" s="46">
        <f t="shared" si="1"/>
      </c>
      <c r="AQ21" s="46">
        <f t="shared" si="1"/>
      </c>
      <c r="AR21" s="46">
        <f t="shared" si="1"/>
      </c>
      <c r="AS21" s="46">
        <f t="shared" si="1"/>
      </c>
      <c r="AT21" s="46">
        <f>IF(L21&lt;&gt;0,IF(Y21=0,L21,AY21/P21*100),"")</f>
        <v>5.853802088745714</v>
      </c>
      <c r="AV21" s="94">
        <f t="shared" si="2"/>
      </c>
      <c r="AY21" s="94">
        <f t="shared" si="3"/>
        <v>3.512281253247428</v>
      </c>
    </row>
    <row r="22" spans="1:51" ht="12.75">
      <c r="A22" s="29"/>
      <c r="B22" s="30"/>
      <c r="C22" s="30"/>
      <c r="D22" s="31"/>
      <c r="E22" s="31"/>
      <c r="F22" s="31"/>
      <c r="G22" s="31"/>
      <c r="H22" s="31">
        <f>0.04+5.5</f>
        <v>5.54</v>
      </c>
      <c r="I22" s="31"/>
      <c r="J22" s="31"/>
      <c r="K22" s="31"/>
      <c r="L22" s="32">
        <f t="shared" si="5"/>
        <v>5.54</v>
      </c>
      <c r="M22" s="33" t="s">
        <v>48</v>
      </c>
      <c r="N22" s="34"/>
      <c r="O22" s="35"/>
      <c r="P22" s="36">
        <v>60</v>
      </c>
      <c r="Q22" s="35"/>
      <c r="R22" s="37"/>
      <c r="S22" s="38"/>
      <c r="T22" s="39"/>
      <c r="U22" s="40"/>
      <c r="V22" s="41"/>
      <c r="W22" s="38">
        <f>L22*P22/100*0.175</f>
        <v>0.5816999999999999</v>
      </c>
      <c r="X22" s="42">
        <f>L22*P22/100*0.825</f>
        <v>2.7422999999999997</v>
      </c>
      <c r="Y22" s="42">
        <f>X22*$Y$40</f>
        <v>2.956125116907409</v>
      </c>
      <c r="Z22" s="42"/>
      <c r="AA22" s="42"/>
      <c r="AB22" s="42"/>
      <c r="AC22" s="42"/>
      <c r="AD22" s="41"/>
      <c r="AE22" s="41"/>
      <c r="AF22" s="39"/>
      <c r="AI22" s="46">
        <f t="shared" si="1"/>
      </c>
      <c r="AJ22" s="46">
        <f t="shared" si="1"/>
      </c>
      <c r="AK22" s="46">
        <f t="shared" si="1"/>
      </c>
      <c r="AL22" s="46">
        <f t="shared" si="1"/>
      </c>
      <c r="AM22" s="46">
        <f t="shared" si="1"/>
      </c>
      <c r="AN22" s="46">
        <f t="shared" si="1"/>
      </c>
      <c r="AO22" s="46">
        <f t="shared" si="1"/>
      </c>
      <c r="AP22" s="46">
        <f t="shared" si="1"/>
        <v>5.896375194845682</v>
      </c>
      <c r="AQ22" s="46">
        <f t="shared" si="1"/>
      </c>
      <c r="AR22" s="46">
        <f t="shared" si="1"/>
      </c>
      <c r="AS22" s="46">
        <f t="shared" si="1"/>
      </c>
      <c r="AT22" s="46">
        <f>IF(L22&lt;&gt;0,IF(Y22=0,L22,AY22/P22*100),"")</f>
        <v>5.896375194845682</v>
      </c>
      <c r="AV22" s="94">
        <f t="shared" si="2"/>
      </c>
      <c r="AY22" s="94">
        <f t="shared" si="3"/>
        <v>3.537825116907409</v>
      </c>
    </row>
    <row r="23" spans="1:51" ht="12.75">
      <c r="A23" s="44"/>
      <c r="B23" s="45"/>
      <c r="C23" s="46"/>
      <c r="D23" s="47"/>
      <c r="E23" s="47"/>
      <c r="F23" s="45">
        <f>13058*0.0036</f>
        <v>47.0088</v>
      </c>
      <c r="G23" s="47"/>
      <c r="H23" s="47"/>
      <c r="I23" s="47"/>
      <c r="J23" s="47"/>
      <c r="K23" s="47"/>
      <c r="L23" s="32">
        <f t="shared" si="5"/>
        <v>47.0088</v>
      </c>
      <c r="M23" s="48" t="s">
        <v>49</v>
      </c>
      <c r="N23" s="49"/>
      <c r="O23" s="50"/>
      <c r="P23" s="51">
        <v>84</v>
      </c>
      <c r="Q23" s="50"/>
      <c r="R23" s="52"/>
      <c r="S23" s="53"/>
      <c r="T23" s="54"/>
      <c r="U23" s="55">
        <f>L23*P23/100</f>
        <v>39.487392</v>
      </c>
      <c r="V23" s="56"/>
      <c r="W23" s="53"/>
      <c r="X23" s="57"/>
      <c r="Y23" s="57"/>
      <c r="Z23" s="57"/>
      <c r="AA23" s="57"/>
      <c r="AB23" s="57"/>
      <c r="AC23" s="57"/>
      <c r="AD23" s="56"/>
      <c r="AE23" s="56"/>
      <c r="AF23" s="54"/>
      <c r="AI23" s="46">
        <f t="shared" si="1"/>
      </c>
      <c r="AJ23" s="46">
        <f t="shared" si="1"/>
      </c>
      <c r="AK23" s="46">
        <f t="shared" si="1"/>
      </c>
      <c r="AL23" s="46">
        <f t="shared" si="1"/>
      </c>
      <c r="AM23" s="46">
        <f t="shared" si="1"/>
      </c>
      <c r="AN23" s="46">
        <f t="shared" si="1"/>
        <v>50.03432392648863</v>
      </c>
      <c r="AO23" s="46">
        <f t="shared" si="1"/>
      </c>
      <c r="AP23" s="46">
        <f t="shared" si="1"/>
      </c>
      <c r="AQ23" s="46">
        <f t="shared" si="1"/>
      </c>
      <c r="AR23" s="46">
        <f t="shared" si="1"/>
      </c>
      <c r="AS23" s="46">
        <f>IF(K23&lt;&gt;0,$AT23,"")</f>
      </c>
      <c r="AT23" s="46">
        <f>AW23/P23*100</f>
        <v>50.03432392648863</v>
      </c>
      <c r="AV23" s="94">
        <f t="shared" si="2"/>
      </c>
      <c r="AW23">
        <f>AW25-AW24</f>
        <v>42.02883209825045</v>
      </c>
      <c r="AY23" s="94">
        <f t="shared" si="3"/>
        <v>0</v>
      </c>
    </row>
    <row r="24" spans="1:51" ht="12.75">
      <c r="A24" s="44"/>
      <c r="B24" s="45"/>
      <c r="C24" s="45">
        <f>236*0.0036</f>
        <v>0.8496</v>
      </c>
      <c r="D24" s="47"/>
      <c r="E24" s="47"/>
      <c r="F24" s="47"/>
      <c r="G24" s="47"/>
      <c r="H24" s="47"/>
      <c r="I24" s="47"/>
      <c r="J24" s="47"/>
      <c r="K24" s="47"/>
      <c r="L24" s="32">
        <f t="shared" si="5"/>
        <v>0.8496</v>
      </c>
      <c r="M24" s="48" t="s">
        <v>50</v>
      </c>
      <c r="N24" s="49"/>
      <c r="O24" s="50"/>
      <c r="P24" s="51">
        <v>95</v>
      </c>
      <c r="Q24" s="50"/>
      <c r="R24" s="52"/>
      <c r="S24" s="53"/>
      <c r="T24" s="54"/>
      <c r="U24" s="55">
        <f>L24*P24/100</f>
        <v>0.8071200000000001</v>
      </c>
      <c r="V24" s="56"/>
      <c r="W24" s="53"/>
      <c r="X24" s="57"/>
      <c r="Y24" s="57"/>
      <c r="Z24" s="57"/>
      <c r="AA24" s="57"/>
      <c r="AB24" s="57"/>
      <c r="AC24" s="57"/>
      <c r="AD24" s="56"/>
      <c r="AE24" s="56"/>
      <c r="AF24" s="54"/>
      <c r="AI24" s="46">
        <f t="shared" si="1"/>
      </c>
      <c r="AJ24" s="46">
        <f t="shared" si="1"/>
      </c>
      <c r="AK24" s="46">
        <f t="shared" si="1"/>
        <v>0.9028750182223511</v>
      </c>
      <c r="AL24" s="46">
        <f t="shared" si="1"/>
      </c>
      <c r="AM24" s="46">
        <f t="shared" si="1"/>
      </c>
      <c r="AN24" s="46">
        <f t="shared" si="1"/>
      </c>
      <c r="AO24" s="46">
        <f t="shared" si="1"/>
      </c>
      <c r="AP24" s="46">
        <f t="shared" si="1"/>
      </c>
      <c r="AQ24" s="46">
        <f t="shared" si="1"/>
      </c>
      <c r="AR24" s="46">
        <f t="shared" si="1"/>
      </c>
      <c r="AS24" s="46">
        <f t="shared" si="1"/>
      </c>
      <c r="AT24" s="46">
        <f>AW24/P24*100</f>
        <v>0.9028750182223511</v>
      </c>
      <c r="AV24" s="94">
        <f t="shared" si="2"/>
      </c>
      <c r="AW24">
        <f>AW25*0.02</f>
        <v>0.8577312673112336</v>
      </c>
      <c r="AY24" s="94">
        <f t="shared" si="3"/>
        <v>0</v>
      </c>
    </row>
    <row r="25" spans="1:51" ht="12.75">
      <c r="A25" s="44"/>
      <c r="B25" s="45"/>
      <c r="C25" s="45"/>
      <c r="D25" s="47"/>
      <c r="E25" s="47"/>
      <c r="F25" s="47"/>
      <c r="G25" s="47"/>
      <c r="H25" s="47"/>
      <c r="I25" s="47"/>
      <c r="J25" s="47"/>
      <c r="K25" s="47"/>
      <c r="L25" s="32"/>
      <c r="M25" s="48" t="s">
        <v>51</v>
      </c>
      <c r="N25" s="49"/>
      <c r="O25" s="50"/>
      <c r="P25" s="51"/>
      <c r="Q25" s="35"/>
      <c r="R25" s="50">
        <v>80</v>
      </c>
      <c r="S25" s="53"/>
      <c r="T25" s="54"/>
      <c r="U25" s="55">
        <f>-V25/(R25/100)</f>
        <v>-40.29451199999999</v>
      </c>
      <c r="V25" s="56">
        <f>SUM(U23:U24)*R25/100</f>
        <v>32.2356096</v>
      </c>
      <c r="W25" s="53">
        <f>V25*0.175</f>
        <v>5.641231679999999</v>
      </c>
      <c r="X25" s="57">
        <f>V25-W25</f>
        <v>26.59437792</v>
      </c>
      <c r="Y25" s="42">
        <f>X25*$Y$40</f>
        <v>28.668019012449342</v>
      </c>
      <c r="Z25" s="57"/>
      <c r="AA25" s="57"/>
      <c r="AB25" s="57"/>
      <c r="AC25" s="57"/>
      <c r="AD25" s="56"/>
      <c r="AE25" s="56"/>
      <c r="AF25" s="54"/>
      <c r="AI25" s="46">
        <f t="shared" si="1"/>
      </c>
      <c r="AJ25" s="46">
        <f t="shared" si="1"/>
      </c>
      <c r="AK25" s="46">
        <f t="shared" si="1"/>
      </c>
      <c r="AL25" s="46">
        <f t="shared" si="1"/>
      </c>
      <c r="AM25" s="46">
        <f t="shared" si="1"/>
      </c>
      <c r="AN25" s="46">
        <f t="shared" si="1"/>
      </c>
      <c r="AO25" s="46">
        <f t="shared" si="1"/>
      </c>
      <c r="AP25" s="46">
        <f t="shared" si="1"/>
      </c>
      <c r="AQ25" s="46">
        <f t="shared" si="1"/>
      </c>
      <c r="AR25" s="46">
        <f t="shared" si="1"/>
      </c>
      <c r="AS25" s="46">
        <f t="shared" si="1"/>
      </c>
      <c r="AT25" s="46"/>
      <c r="AV25" s="94">
        <f t="shared" si="2"/>
      </c>
      <c r="AW25">
        <f>AX25/R25*100</f>
        <v>42.88656336556168</v>
      </c>
      <c r="AX25" s="46">
        <f>AY25</f>
        <v>34.30925069244934</v>
      </c>
      <c r="AY25" s="94">
        <f t="shared" si="3"/>
        <v>34.30925069244934</v>
      </c>
    </row>
    <row r="26" spans="1:51" ht="12.75">
      <c r="A26" s="44"/>
      <c r="B26" s="45"/>
      <c r="C26" s="45"/>
      <c r="D26" s="47"/>
      <c r="E26" s="47"/>
      <c r="F26" s="47"/>
      <c r="G26" s="47"/>
      <c r="H26" s="47"/>
      <c r="I26" s="47"/>
      <c r="J26" s="47"/>
      <c r="K26" s="47"/>
      <c r="L26" s="32">
        <f>SUM(A26:K26)</f>
        <v>0</v>
      </c>
      <c r="M26" s="48" t="s">
        <v>52</v>
      </c>
      <c r="N26" s="49"/>
      <c r="O26" s="50"/>
      <c r="P26" s="51">
        <v>100</v>
      </c>
      <c r="Q26" s="50"/>
      <c r="R26" s="52"/>
      <c r="S26" s="53"/>
      <c r="T26" s="54"/>
      <c r="U26" s="55">
        <f>L26*P26/100</f>
        <v>0</v>
      </c>
      <c r="V26" s="56"/>
      <c r="W26" s="53"/>
      <c r="X26" s="57"/>
      <c r="Y26" s="57"/>
      <c r="Z26" s="57"/>
      <c r="AA26" s="57"/>
      <c r="AB26" s="57"/>
      <c r="AC26" s="57"/>
      <c r="AD26" s="56"/>
      <c r="AE26" s="56"/>
      <c r="AF26" s="54"/>
      <c r="AI26" s="46">
        <f t="shared" si="1"/>
      </c>
      <c r="AJ26" s="46">
        <f t="shared" si="1"/>
      </c>
      <c r="AK26" s="46">
        <f t="shared" si="1"/>
      </c>
      <c r="AL26" s="46">
        <f t="shared" si="1"/>
      </c>
      <c r="AM26" s="46">
        <f t="shared" si="1"/>
      </c>
      <c r="AN26" s="46">
        <f t="shared" si="1"/>
      </c>
      <c r="AO26" s="46">
        <f t="shared" si="1"/>
      </c>
      <c r="AP26" s="46">
        <f t="shared" si="1"/>
      </c>
      <c r="AQ26" s="46">
        <f t="shared" si="1"/>
      </c>
      <c r="AR26" s="46">
        <f t="shared" si="1"/>
      </c>
      <c r="AS26" s="46">
        <f t="shared" si="1"/>
      </c>
      <c r="AT26" s="46">
        <f aca="true" t="shared" si="6" ref="AT26:AT32">IF(L26&lt;&gt;0,IF(Y26=0,L26,AY26/P26*100),"")</f>
      </c>
      <c r="AV26" s="94">
        <f t="shared" si="2"/>
      </c>
      <c r="AY26" s="94">
        <f t="shared" si="3"/>
        <v>0</v>
      </c>
    </row>
    <row r="27" spans="1:51" ht="12.75">
      <c r="A27" s="44"/>
      <c r="B27" s="45"/>
      <c r="C27" s="45"/>
      <c r="D27" s="47"/>
      <c r="E27" s="47"/>
      <c r="F27" s="47"/>
      <c r="G27" s="47"/>
      <c r="H27" s="47"/>
      <c r="I27" s="47"/>
      <c r="J27" s="47"/>
      <c r="K27" s="47"/>
      <c r="L27" s="32">
        <f>SUM(A27:K27)</f>
        <v>0</v>
      </c>
      <c r="M27" s="48" t="s">
        <v>53</v>
      </c>
      <c r="N27" s="49"/>
      <c r="O27" s="50"/>
      <c r="P27" s="51">
        <v>100</v>
      </c>
      <c r="Q27" s="50"/>
      <c r="R27" s="52"/>
      <c r="S27" s="53"/>
      <c r="T27" s="54"/>
      <c r="U27" s="55">
        <f>L27*P27/100</f>
        <v>0</v>
      </c>
      <c r="V27" s="56"/>
      <c r="W27" s="53"/>
      <c r="X27" s="57"/>
      <c r="Y27" s="57"/>
      <c r="Z27" s="57"/>
      <c r="AA27" s="57"/>
      <c r="AB27" s="57"/>
      <c r="AC27" s="57"/>
      <c r="AD27" s="56"/>
      <c r="AE27" s="56"/>
      <c r="AF27" s="54"/>
      <c r="AI27" s="46">
        <f t="shared" si="1"/>
      </c>
      <c r="AJ27" s="46">
        <f t="shared" si="1"/>
      </c>
      <c r="AK27" s="46">
        <f t="shared" si="1"/>
      </c>
      <c r="AL27" s="46">
        <f t="shared" si="1"/>
      </c>
      <c r="AM27" s="46">
        <f t="shared" si="1"/>
      </c>
      <c r="AN27" s="46">
        <f t="shared" si="1"/>
      </c>
      <c r="AO27" s="46">
        <f t="shared" si="1"/>
      </c>
      <c r="AP27" s="46">
        <f t="shared" si="1"/>
      </c>
      <c r="AQ27" s="46">
        <f t="shared" si="1"/>
      </c>
      <c r="AR27" s="46">
        <f t="shared" si="1"/>
      </c>
      <c r="AS27" s="46">
        <f t="shared" si="1"/>
      </c>
      <c r="AT27" s="46">
        <f t="shared" si="6"/>
      </c>
      <c r="AV27" s="94">
        <f t="shared" si="2"/>
      </c>
      <c r="AY27" s="94">
        <f t="shared" si="3"/>
        <v>0</v>
      </c>
    </row>
    <row r="28" spans="1:51" ht="12.75">
      <c r="A28" s="44"/>
      <c r="B28" s="45"/>
      <c r="C28" s="45"/>
      <c r="D28" s="47"/>
      <c r="E28" s="47"/>
      <c r="F28" s="47"/>
      <c r="G28" s="47"/>
      <c r="H28" s="47"/>
      <c r="I28" s="47"/>
      <c r="J28" s="47"/>
      <c r="K28" s="47"/>
      <c r="L28" s="32">
        <f>SUM(A28:K28)</f>
        <v>0</v>
      </c>
      <c r="M28" s="48" t="s">
        <v>54</v>
      </c>
      <c r="N28" s="49"/>
      <c r="O28" s="50"/>
      <c r="P28" s="51">
        <v>90</v>
      </c>
      <c r="Q28" s="50"/>
      <c r="R28" s="52"/>
      <c r="S28" s="53"/>
      <c r="T28" s="54"/>
      <c r="U28" s="55">
        <f>L28*P28/100</f>
        <v>0</v>
      </c>
      <c r="V28" s="56"/>
      <c r="W28" s="53"/>
      <c r="X28" s="57"/>
      <c r="Y28" s="57"/>
      <c r="Z28" s="57"/>
      <c r="AA28" s="57"/>
      <c r="AB28" s="57"/>
      <c r="AC28" s="57"/>
      <c r="AD28" s="56"/>
      <c r="AE28" s="56"/>
      <c r="AF28" s="54"/>
      <c r="AI28" s="46">
        <f t="shared" si="1"/>
      </c>
      <c r="AJ28" s="46">
        <f t="shared" si="1"/>
      </c>
      <c r="AK28" s="46">
        <f t="shared" si="1"/>
      </c>
      <c r="AL28" s="46">
        <f t="shared" si="1"/>
      </c>
      <c r="AM28" s="46">
        <f t="shared" si="1"/>
      </c>
      <c r="AN28" s="46">
        <f t="shared" si="1"/>
      </c>
      <c r="AO28" s="46">
        <f t="shared" si="1"/>
      </c>
      <c r="AP28" s="46">
        <f t="shared" si="1"/>
      </c>
      <c r="AQ28" s="46">
        <f t="shared" si="1"/>
      </c>
      <c r="AR28" s="46">
        <f t="shared" si="1"/>
      </c>
      <c r="AS28" s="46">
        <f t="shared" si="1"/>
      </c>
      <c r="AT28" s="46">
        <f t="shared" si="6"/>
      </c>
      <c r="AV28" s="94">
        <f t="shared" si="2"/>
      </c>
      <c r="AY28" s="94">
        <f t="shared" si="3"/>
        <v>0</v>
      </c>
    </row>
    <row r="29" spans="1:51" ht="12.75">
      <c r="A29" s="44"/>
      <c r="B29" s="45"/>
      <c r="C29" s="45"/>
      <c r="D29" s="47"/>
      <c r="E29" s="47"/>
      <c r="F29" s="47"/>
      <c r="G29" s="47"/>
      <c r="H29" s="47"/>
      <c r="I29" s="47"/>
      <c r="J29" s="47"/>
      <c r="K29" s="47"/>
      <c r="L29" s="32"/>
      <c r="M29" s="48" t="s">
        <v>55</v>
      </c>
      <c r="N29" s="49"/>
      <c r="O29" s="50"/>
      <c r="P29" s="51"/>
      <c r="Q29" s="50"/>
      <c r="R29" s="52">
        <v>70</v>
      </c>
      <c r="S29" s="53"/>
      <c r="T29" s="54"/>
      <c r="U29" s="55"/>
      <c r="V29" s="56"/>
      <c r="W29" s="53"/>
      <c r="X29" s="57"/>
      <c r="Y29" s="57"/>
      <c r="Z29" s="57"/>
      <c r="AA29" s="57"/>
      <c r="AB29" s="57"/>
      <c r="AC29" s="57"/>
      <c r="AD29" s="56"/>
      <c r="AE29" s="56"/>
      <c r="AF29" s="54"/>
      <c r="AI29" s="46">
        <f t="shared" si="1"/>
      </c>
      <c r="AJ29" s="46">
        <f t="shared" si="1"/>
      </c>
      <c r="AK29" s="46">
        <f t="shared" si="1"/>
      </c>
      <c r="AL29" s="46">
        <f t="shared" si="1"/>
      </c>
      <c r="AM29" s="46">
        <f t="shared" si="1"/>
      </c>
      <c r="AN29" s="46">
        <f t="shared" si="1"/>
      </c>
      <c r="AO29" s="46">
        <f t="shared" si="1"/>
      </c>
      <c r="AP29" s="46">
        <f t="shared" si="1"/>
      </c>
      <c r="AQ29" s="46">
        <f t="shared" si="1"/>
      </c>
      <c r="AR29" s="46">
        <f t="shared" si="1"/>
      </c>
      <c r="AS29" s="46">
        <f t="shared" si="1"/>
      </c>
      <c r="AT29" s="46">
        <f t="shared" si="6"/>
      </c>
      <c r="AV29" s="94">
        <f t="shared" si="2"/>
      </c>
      <c r="AY29" s="94">
        <f t="shared" si="3"/>
        <v>0</v>
      </c>
    </row>
    <row r="30" spans="1:51" ht="12.75">
      <c r="A30" s="44"/>
      <c r="B30" s="45"/>
      <c r="C30" s="45"/>
      <c r="D30" s="47"/>
      <c r="E30" s="47"/>
      <c r="F30" s="47"/>
      <c r="G30" s="47"/>
      <c r="H30" s="47"/>
      <c r="I30" s="47"/>
      <c r="J30" s="47"/>
      <c r="K30" s="47"/>
      <c r="L30" s="32">
        <f>SUM(A30:K30)</f>
        <v>0</v>
      </c>
      <c r="M30" s="48" t="s">
        <v>56</v>
      </c>
      <c r="N30" s="49"/>
      <c r="O30" s="50"/>
      <c r="P30" s="51"/>
      <c r="Q30" s="50"/>
      <c r="R30" s="52"/>
      <c r="S30" s="53"/>
      <c r="T30" s="54"/>
      <c r="U30" s="55"/>
      <c r="V30" s="56"/>
      <c r="W30" s="53"/>
      <c r="X30" s="57"/>
      <c r="Y30" s="57"/>
      <c r="Z30" s="57"/>
      <c r="AA30" s="57"/>
      <c r="AB30" s="57"/>
      <c r="AC30" s="57"/>
      <c r="AD30" s="56"/>
      <c r="AE30" s="56"/>
      <c r="AF30" s="54"/>
      <c r="AI30" s="46">
        <f t="shared" si="1"/>
      </c>
      <c r="AJ30" s="46">
        <f t="shared" si="1"/>
      </c>
      <c r="AK30" s="46">
        <f t="shared" si="1"/>
      </c>
      <c r="AL30" s="46">
        <f aca="true" t="shared" si="7" ref="AL30:AS38">IF(D30&lt;&gt;0,$AT30,"")</f>
      </c>
      <c r="AM30" s="46">
        <f t="shared" si="7"/>
      </c>
      <c r="AN30" s="46">
        <f t="shared" si="7"/>
      </c>
      <c r="AO30" s="46">
        <f t="shared" si="7"/>
      </c>
      <c r="AP30" s="46">
        <f t="shared" si="7"/>
      </c>
      <c r="AQ30" s="46">
        <f t="shared" si="7"/>
      </c>
      <c r="AR30" s="46">
        <f t="shared" si="7"/>
      </c>
      <c r="AS30" s="46">
        <f t="shared" si="7"/>
      </c>
      <c r="AT30" s="46">
        <f t="shared" si="6"/>
      </c>
      <c r="AV30" s="94">
        <f t="shared" si="2"/>
      </c>
      <c r="AY30" s="94">
        <f t="shared" si="3"/>
        <v>0</v>
      </c>
    </row>
    <row r="31" spans="1:51" ht="12.75">
      <c r="A31" s="44"/>
      <c r="B31" s="45"/>
      <c r="C31" s="45"/>
      <c r="D31" s="47"/>
      <c r="E31" s="47"/>
      <c r="F31" s="47"/>
      <c r="G31" s="47"/>
      <c r="H31" s="47"/>
      <c r="I31" s="47"/>
      <c r="J31" s="47"/>
      <c r="K31" s="47"/>
      <c r="L31" s="32">
        <f>SUM(A31:K31)</f>
        <v>0</v>
      </c>
      <c r="M31" s="48" t="s">
        <v>57</v>
      </c>
      <c r="N31" s="49"/>
      <c r="O31" s="50"/>
      <c r="P31" s="51"/>
      <c r="Q31" s="50"/>
      <c r="R31" s="52"/>
      <c r="S31" s="53"/>
      <c r="T31" s="54"/>
      <c r="U31" s="55"/>
      <c r="V31" s="56"/>
      <c r="W31" s="53"/>
      <c r="X31" s="57"/>
      <c r="Y31" s="57"/>
      <c r="Z31" s="57"/>
      <c r="AA31" s="57"/>
      <c r="AB31" s="57"/>
      <c r="AC31" s="57"/>
      <c r="AD31" s="56"/>
      <c r="AE31" s="56"/>
      <c r="AF31" s="54"/>
      <c r="AI31" s="46">
        <f aca="true" t="shared" si="8" ref="AI31:AK38">IF(A31&lt;&gt;0,$AT31,"")</f>
      </c>
      <c r="AJ31" s="46">
        <f t="shared" si="8"/>
      </c>
      <c r="AK31" s="46">
        <f t="shared" si="8"/>
      </c>
      <c r="AL31" s="46">
        <f t="shared" si="7"/>
      </c>
      <c r="AM31" s="46">
        <f t="shared" si="7"/>
      </c>
      <c r="AN31" s="46">
        <f t="shared" si="7"/>
      </c>
      <c r="AO31" s="46">
        <f t="shared" si="7"/>
      </c>
      <c r="AP31" s="46">
        <f t="shared" si="7"/>
      </c>
      <c r="AQ31" s="46">
        <f t="shared" si="7"/>
      </c>
      <c r="AR31" s="46">
        <f t="shared" si="7"/>
      </c>
      <c r="AS31" s="46">
        <f t="shared" si="7"/>
      </c>
      <c r="AT31" s="46">
        <f t="shared" si="6"/>
      </c>
      <c r="AV31" s="94">
        <f t="shared" si="2"/>
      </c>
      <c r="AY31" s="94">
        <f t="shared" si="3"/>
        <v>0</v>
      </c>
    </row>
    <row r="32" spans="1:51" ht="12.75">
      <c r="A32" s="44"/>
      <c r="B32" s="45"/>
      <c r="C32" s="45"/>
      <c r="D32" s="47"/>
      <c r="E32" s="47"/>
      <c r="F32" s="47"/>
      <c r="G32" s="47"/>
      <c r="H32" s="47"/>
      <c r="I32" s="47"/>
      <c r="J32" s="47"/>
      <c r="K32" s="47"/>
      <c r="L32" s="32"/>
      <c r="M32" s="48" t="s">
        <v>58</v>
      </c>
      <c r="N32" s="49"/>
      <c r="O32" s="50"/>
      <c r="P32" s="51"/>
      <c r="Q32" s="50"/>
      <c r="R32" s="52"/>
      <c r="S32" s="53"/>
      <c r="T32" s="54"/>
      <c r="U32" s="55"/>
      <c r="V32" s="56"/>
      <c r="W32" s="53"/>
      <c r="X32" s="57"/>
      <c r="Y32" s="57"/>
      <c r="Z32" s="57"/>
      <c r="AA32" s="57"/>
      <c r="AB32" s="57"/>
      <c r="AC32" s="57"/>
      <c r="AD32" s="56"/>
      <c r="AE32" s="56"/>
      <c r="AF32" s="54"/>
      <c r="AI32" s="46">
        <f t="shared" si="8"/>
      </c>
      <c r="AJ32" s="46">
        <f t="shared" si="8"/>
      </c>
      <c r="AK32" s="46">
        <f t="shared" si="8"/>
      </c>
      <c r="AL32" s="46">
        <f t="shared" si="7"/>
      </c>
      <c r="AM32" s="46">
        <f t="shared" si="7"/>
      </c>
      <c r="AN32" s="46">
        <f t="shared" si="7"/>
      </c>
      <c r="AO32" s="46">
        <f t="shared" si="7"/>
      </c>
      <c r="AP32" s="46">
        <f t="shared" si="7"/>
      </c>
      <c r="AQ32" s="46">
        <f t="shared" si="7"/>
      </c>
      <c r="AR32" s="46">
        <f t="shared" si="7"/>
      </c>
      <c r="AS32" s="46">
        <f t="shared" si="7"/>
      </c>
      <c r="AT32" s="46">
        <f t="shared" si="6"/>
      </c>
      <c r="AV32" s="94">
        <f t="shared" si="2"/>
      </c>
      <c r="AY32" s="94">
        <f t="shared" si="3"/>
        <v>0</v>
      </c>
    </row>
    <row r="33" spans="1:51" ht="12.75">
      <c r="A33" s="44"/>
      <c r="B33" s="45"/>
      <c r="C33" s="45"/>
      <c r="D33" s="47"/>
      <c r="E33" s="47">
        <f>29.6+9.9+0.2+0.7</f>
        <v>40.400000000000006</v>
      </c>
      <c r="F33" s="47"/>
      <c r="G33" s="47"/>
      <c r="H33" s="47"/>
      <c r="I33" s="47"/>
      <c r="J33" s="47"/>
      <c r="K33" s="47"/>
      <c r="L33" s="32">
        <f aca="true" t="shared" si="9" ref="L33:L38">SUM(A33:K33)</f>
        <v>40.400000000000006</v>
      </c>
      <c r="M33" s="48" t="s">
        <v>59</v>
      </c>
      <c r="N33" s="49"/>
      <c r="O33" s="50">
        <v>20</v>
      </c>
      <c r="P33" s="51"/>
      <c r="Q33" s="50"/>
      <c r="R33" s="52"/>
      <c r="S33" s="53"/>
      <c r="T33" s="54"/>
      <c r="U33" s="55"/>
      <c r="V33" s="56"/>
      <c r="W33" s="53"/>
      <c r="X33" s="57"/>
      <c r="Y33" s="57"/>
      <c r="Z33" s="57"/>
      <c r="AA33" s="57"/>
      <c r="AB33" s="57"/>
      <c r="AC33" s="57"/>
      <c r="AD33" s="56"/>
      <c r="AE33" s="56"/>
      <c r="AF33" s="54">
        <f aca="true" t="shared" si="10" ref="AF33:AF38">L33*O33/100</f>
        <v>8.080000000000002</v>
      </c>
      <c r="AI33" s="46">
        <f t="shared" si="8"/>
      </c>
      <c r="AJ33" s="46">
        <f t="shared" si="8"/>
      </c>
      <c r="AK33" s="46">
        <f t="shared" si="8"/>
      </c>
      <c r="AL33" s="46">
        <f t="shared" si="7"/>
      </c>
      <c r="AM33" s="46">
        <f t="shared" si="7"/>
        <v>40.400000000000006</v>
      </c>
      <c r="AN33" s="46">
        <f t="shared" si="7"/>
      </c>
      <c r="AO33" s="46">
        <f t="shared" si="7"/>
      </c>
      <c r="AP33" s="46">
        <f t="shared" si="7"/>
      </c>
      <c r="AQ33" s="46">
        <f t="shared" si="7"/>
      </c>
      <c r="AR33" s="46">
        <f t="shared" si="7"/>
      </c>
      <c r="AS33" s="46">
        <f t="shared" si="7"/>
      </c>
      <c r="AT33" s="46">
        <f aca="true" t="shared" si="11" ref="AT33:AT38">IF(L33&lt;&gt;0,IF(Y33=0,L33,AY33/O33*100),"")</f>
        <v>40.400000000000006</v>
      </c>
      <c r="AV33" s="94">
        <f t="shared" si="2"/>
      </c>
      <c r="AY33" s="94">
        <f t="shared" si="3"/>
        <v>8.080000000000002</v>
      </c>
    </row>
    <row r="34" spans="1:51" ht="12.75">
      <c r="A34" s="44"/>
      <c r="B34" s="45"/>
      <c r="C34" s="45"/>
      <c r="D34" s="47">
        <f>13.6+0.4+0.4+1.6</f>
        <v>16</v>
      </c>
      <c r="E34" s="47"/>
      <c r="F34" s="47"/>
      <c r="G34" s="47"/>
      <c r="H34" s="47"/>
      <c r="I34" s="47"/>
      <c r="J34" s="47"/>
      <c r="K34" s="47"/>
      <c r="L34" s="32">
        <f t="shared" si="9"/>
        <v>16</v>
      </c>
      <c r="M34" s="48" t="s">
        <v>60</v>
      </c>
      <c r="N34" s="49"/>
      <c r="O34" s="50">
        <v>25</v>
      </c>
      <c r="P34" s="51"/>
      <c r="Q34" s="50"/>
      <c r="R34" s="52"/>
      <c r="S34" s="53"/>
      <c r="T34" s="54"/>
      <c r="U34" s="55"/>
      <c r="V34" s="56"/>
      <c r="W34" s="53"/>
      <c r="X34" s="57"/>
      <c r="Y34" s="57"/>
      <c r="Z34" s="57"/>
      <c r="AA34" s="57"/>
      <c r="AB34" s="57"/>
      <c r="AC34" s="57"/>
      <c r="AD34" s="56"/>
      <c r="AE34" s="56"/>
      <c r="AF34" s="54">
        <f t="shared" si="10"/>
        <v>4</v>
      </c>
      <c r="AI34" s="46">
        <f t="shared" si="8"/>
      </c>
      <c r="AJ34" s="46">
        <f t="shared" si="8"/>
      </c>
      <c r="AK34" s="46">
        <f t="shared" si="8"/>
      </c>
      <c r="AL34" s="46">
        <f t="shared" si="7"/>
        <v>16</v>
      </c>
      <c r="AM34" s="46">
        <f t="shared" si="7"/>
      </c>
      <c r="AN34" s="46">
        <f t="shared" si="7"/>
      </c>
      <c r="AO34" s="46">
        <f t="shared" si="7"/>
      </c>
      <c r="AP34" s="46">
        <f t="shared" si="7"/>
      </c>
      <c r="AQ34" s="46">
        <f t="shared" si="7"/>
      </c>
      <c r="AR34" s="46">
        <f t="shared" si="7"/>
      </c>
      <c r="AS34" s="46">
        <f t="shared" si="7"/>
      </c>
      <c r="AT34" s="46">
        <f t="shared" si="11"/>
        <v>16</v>
      </c>
      <c r="AV34" s="94">
        <f t="shared" si="2"/>
      </c>
      <c r="AY34" s="94">
        <f t="shared" si="3"/>
        <v>4</v>
      </c>
    </row>
    <row r="35" spans="1:51" ht="12.75">
      <c r="A35" s="44"/>
      <c r="B35" s="45"/>
      <c r="C35" s="45"/>
      <c r="D35" s="47">
        <f>3.2</f>
        <v>3.2</v>
      </c>
      <c r="E35" s="47"/>
      <c r="F35" s="47"/>
      <c r="G35" s="47"/>
      <c r="H35" s="47"/>
      <c r="I35" s="47"/>
      <c r="J35" s="47"/>
      <c r="K35" s="47"/>
      <c r="L35" s="32">
        <f t="shared" si="9"/>
        <v>3.2</v>
      </c>
      <c r="M35" s="48" t="s">
        <v>61</v>
      </c>
      <c r="N35" s="49"/>
      <c r="O35" s="50">
        <v>33</v>
      </c>
      <c r="P35" s="51"/>
      <c r="Q35" s="50"/>
      <c r="R35" s="52"/>
      <c r="S35" s="53"/>
      <c r="T35" s="54"/>
      <c r="U35" s="55"/>
      <c r="V35" s="56"/>
      <c r="W35" s="53"/>
      <c r="X35" s="57"/>
      <c r="Y35" s="57"/>
      <c r="Z35" s="57"/>
      <c r="AA35" s="57"/>
      <c r="AB35" s="57"/>
      <c r="AC35" s="57"/>
      <c r="AD35" s="56"/>
      <c r="AE35" s="56"/>
      <c r="AF35" s="54">
        <f t="shared" si="10"/>
        <v>1.056</v>
      </c>
      <c r="AI35" s="46">
        <f t="shared" si="8"/>
      </c>
      <c r="AJ35" s="46">
        <f t="shared" si="8"/>
      </c>
      <c r="AK35" s="46">
        <f t="shared" si="8"/>
      </c>
      <c r="AL35" s="46">
        <f t="shared" si="7"/>
        <v>3.2</v>
      </c>
      <c r="AM35" s="46">
        <f t="shared" si="7"/>
      </c>
      <c r="AN35" s="46">
        <f t="shared" si="7"/>
      </c>
      <c r="AO35" s="46">
        <f t="shared" si="7"/>
      </c>
      <c r="AP35" s="46">
        <f t="shared" si="7"/>
      </c>
      <c r="AQ35" s="46">
        <f t="shared" si="7"/>
      </c>
      <c r="AR35" s="46">
        <f t="shared" si="7"/>
      </c>
      <c r="AS35" s="46">
        <f t="shared" si="7"/>
      </c>
      <c r="AT35" s="46">
        <f t="shared" si="11"/>
        <v>3.2</v>
      </c>
      <c r="AV35" s="94">
        <f t="shared" si="2"/>
      </c>
      <c r="AY35" s="94">
        <f t="shared" si="3"/>
        <v>1.056</v>
      </c>
    </row>
    <row r="36" spans="1:51" ht="12.75">
      <c r="A36" s="44"/>
      <c r="B36" s="45"/>
      <c r="C36" s="45"/>
      <c r="D36" s="47">
        <f>13.5+6.8</f>
        <v>20.3</v>
      </c>
      <c r="E36" s="47"/>
      <c r="F36" s="47"/>
      <c r="G36" s="47"/>
      <c r="H36" s="47"/>
      <c r="I36" s="47"/>
      <c r="J36" s="47"/>
      <c r="K36" s="47"/>
      <c r="L36" s="32">
        <f t="shared" si="9"/>
        <v>20.3</v>
      </c>
      <c r="M36" s="48" t="s">
        <v>62</v>
      </c>
      <c r="N36" s="49"/>
      <c r="O36" s="50">
        <v>33</v>
      </c>
      <c r="P36" s="51"/>
      <c r="Q36" s="50"/>
      <c r="R36" s="52"/>
      <c r="S36" s="53"/>
      <c r="T36" s="54"/>
      <c r="U36" s="55"/>
      <c r="V36" s="56"/>
      <c r="W36" s="53"/>
      <c r="X36" s="57"/>
      <c r="Y36" s="57"/>
      <c r="Z36" s="57"/>
      <c r="AA36" s="57"/>
      <c r="AB36" s="57"/>
      <c r="AC36" s="57"/>
      <c r="AD36" s="56"/>
      <c r="AE36" s="56"/>
      <c r="AF36" s="54">
        <f t="shared" si="10"/>
        <v>6.699</v>
      </c>
      <c r="AI36" s="46">
        <f t="shared" si="8"/>
      </c>
      <c r="AJ36" s="46">
        <f t="shared" si="8"/>
      </c>
      <c r="AK36" s="46">
        <f t="shared" si="8"/>
      </c>
      <c r="AL36" s="46">
        <f t="shared" si="7"/>
        <v>20.3</v>
      </c>
      <c r="AM36" s="46">
        <f t="shared" si="7"/>
      </c>
      <c r="AN36" s="46">
        <f t="shared" si="7"/>
      </c>
      <c r="AO36" s="46">
        <f t="shared" si="7"/>
      </c>
      <c r="AP36" s="46">
        <f t="shared" si="7"/>
      </c>
      <c r="AQ36" s="46">
        <f t="shared" si="7"/>
      </c>
      <c r="AR36" s="46">
        <f t="shared" si="7"/>
      </c>
      <c r="AS36" s="46">
        <f t="shared" si="7"/>
      </c>
      <c r="AT36" s="46">
        <f t="shared" si="11"/>
        <v>20.3</v>
      </c>
      <c r="AV36" s="94">
        <f t="shared" si="2"/>
      </c>
      <c r="AY36" s="94">
        <f t="shared" si="3"/>
        <v>6.699</v>
      </c>
    </row>
    <row r="37" spans="1:51" ht="12.75">
      <c r="A37" s="44"/>
      <c r="B37" s="45"/>
      <c r="C37" s="45"/>
      <c r="D37" s="47">
        <f>23.3+2.3</f>
        <v>25.6</v>
      </c>
      <c r="E37" s="47"/>
      <c r="F37" s="47"/>
      <c r="G37" s="47"/>
      <c r="H37" s="47"/>
      <c r="I37" s="47"/>
      <c r="J37" s="47"/>
      <c r="K37" s="47"/>
      <c r="L37" s="32">
        <f t="shared" si="9"/>
        <v>25.6</v>
      </c>
      <c r="M37" s="48" t="s">
        <v>63</v>
      </c>
      <c r="N37" s="49"/>
      <c r="O37" s="50">
        <v>33</v>
      </c>
      <c r="P37" s="51"/>
      <c r="Q37" s="50"/>
      <c r="R37" s="52"/>
      <c r="S37" s="53"/>
      <c r="T37" s="54"/>
      <c r="U37" s="55"/>
      <c r="V37" s="56"/>
      <c r="W37" s="53"/>
      <c r="X37" s="57"/>
      <c r="Y37" s="57"/>
      <c r="Z37" s="57"/>
      <c r="AA37" s="57"/>
      <c r="AB37" s="57"/>
      <c r="AC37" s="57"/>
      <c r="AD37" s="56"/>
      <c r="AE37" s="56"/>
      <c r="AF37" s="54">
        <f t="shared" si="10"/>
        <v>8.448</v>
      </c>
      <c r="AI37" s="46">
        <f t="shared" si="8"/>
      </c>
      <c r="AJ37" s="46">
        <f t="shared" si="8"/>
      </c>
      <c r="AK37" s="46">
        <f t="shared" si="8"/>
      </c>
      <c r="AL37" s="46">
        <f t="shared" si="7"/>
        <v>25.6</v>
      </c>
      <c r="AM37" s="46">
        <f t="shared" si="7"/>
      </c>
      <c r="AN37" s="46">
        <f t="shared" si="7"/>
      </c>
      <c r="AO37" s="46">
        <f t="shared" si="7"/>
      </c>
      <c r="AP37" s="46">
        <f t="shared" si="7"/>
      </c>
      <c r="AQ37" s="46">
        <f t="shared" si="7"/>
      </c>
      <c r="AR37" s="46">
        <f t="shared" si="7"/>
      </c>
      <c r="AS37" s="46">
        <f t="shared" si="7"/>
      </c>
      <c r="AT37" s="46">
        <f t="shared" si="11"/>
        <v>25.6</v>
      </c>
      <c r="AV37" s="94">
        <f t="shared" si="2"/>
      </c>
      <c r="AY37" s="94">
        <f t="shared" si="3"/>
        <v>8.448</v>
      </c>
    </row>
    <row r="38" spans="1:51" ht="13.5" thickBot="1">
      <c r="A38" s="44"/>
      <c r="B38" s="45"/>
      <c r="C38" s="45"/>
      <c r="D38" s="47">
        <f>71.8+0.6</f>
        <v>72.39999999999999</v>
      </c>
      <c r="E38" s="47"/>
      <c r="F38" s="47"/>
      <c r="G38" s="47"/>
      <c r="H38" s="47"/>
      <c r="I38" s="47"/>
      <c r="J38" s="47"/>
      <c r="K38" s="47"/>
      <c r="L38" s="58">
        <f t="shared" si="9"/>
        <v>72.39999999999999</v>
      </c>
      <c r="M38" s="48" t="s">
        <v>64</v>
      </c>
      <c r="N38" s="49"/>
      <c r="O38" s="50">
        <v>38</v>
      </c>
      <c r="P38" s="51"/>
      <c r="Q38" s="50"/>
      <c r="R38" s="52"/>
      <c r="S38" s="53"/>
      <c r="T38" s="54"/>
      <c r="U38" s="55"/>
      <c r="V38" s="56"/>
      <c r="W38" s="53"/>
      <c r="X38" s="57"/>
      <c r="Y38" s="57"/>
      <c r="Z38" s="57"/>
      <c r="AA38" s="57"/>
      <c r="AB38" s="57"/>
      <c r="AC38" s="57"/>
      <c r="AD38" s="56"/>
      <c r="AE38" s="56"/>
      <c r="AF38" s="54">
        <f t="shared" si="10"/>
        <v>27.511999999999997</v>
      </c>
      <c r="AI38" s="46">
        <f t="shared" si="8"/>
      </c>
      <c r="AJ38" s="46">
        <f t="shared" si="8"/>
      </c>
      <c r="AK38" s="46">
        <f t="shared" si="8"/>
      </c>
      <c r="AL38" s="46">
        <f t="shared" si="7"/>
        <v>72.39999999999999</v>
      </c>
      <c r="AM38" s="46">
        <f t="shared" si="7"/>
      </c>
      <c r="AN38" s="46">
        <f t="shared" si="7"/>
      </c>
      <c r="AO38" s="46">
        <f t="shared" si="7"/>
      </c>
      <c r="AP38" s="46">
        <f t="shared" si="7"/>
      </c>
      <c r="AQ38" s="46">
        <f t="shared" si="7"/>
      </c>
      <c r="AR38" s="46">
        <f t="shared" si="7"/>
      </c>
      <c r="AS38" s="46">
        <f t="shared" si="7"/>
      </c>
      <c r="AT38" s="46">
        <f t="shared" si="11"/>
        <v>72.39999999999999</v>
      </c>
      <c r="AV38" s="94">
        <f t="shared" si="2"/>
      </c>
      <c r="AY38" s="94">
        <f>SUM(W38,Y38:AF38)</f>
        <v>27.511999999999997</v>
      </c>
    </row>
    <row r="39" spans="1:51" ht="13.5" thickBot="1">
      <c r="A39" s="59">
        <f aca="true" t="shared" si="12" ref="A39:L39">SUM(A7:A38)</f>
        <v>101.92680412371134</v>
      </c>
      <c r="B39" s="60">
        <f t="shared" si="12"/>
        <v>2.4</v>
      </c>
      <c r="C39" s="60">
        <f t="shared" si="12"/>
        <v>149.24960000000002</v>
      </c>
      <c r="D39" s="60">
        <f t="shared" si="12"/>
        <v>137.5</v>
      </c>
      <c r="E39" s="60">
        <f t="shared" si="12"/>
        <v>40.400000000000006</v>
      </c>
      <c r="F39" s="60">
        <f t="shared" si="12"/>
        <v>52.5088</v>
      </c>
      <c r="G39" s="60">
        <f t="shared" si="12"/>
        <v>8.19</v>
      </c>
      <c r="H39" s="60">
        <f t="shared" si="12"/>
        <v>5.54</v>
      </c>
      <c r="I39" s="60">
        <f t="shared" si="12"/>
        <v>0.18</v>
      </c>
      <c r="J39" s="60">
        <f t="shared" si="12"/>
        <v>5.5</v>
      </c>
      <c r="K39" s="60">
        <f t="shared" si="12"/>
        <v>0</v>
      </c>
      <c r="L39" s="61">
        <f t="shared" si="12"/>
        <v>503.3952041237113</v>
      </c>
      <c r="M39" s="62" t="s">
        <v>22</v>
      </c>
      <c r="N39" s="60"/>
      <c r="O39" s="63"/>
      <c r="P39" s="61"/>
      <c r="Q39" s="63"/>
      <c r="R39" s="64"/>
      <c r="S39" s="59">
        <f aca="true" t="shared" si="13" ref="S39:AF39">SUM(S7:S38)</f>
        <v>-3.982925100842749E-15</v>
      </c>
      <c r="T39" s="65">
        <f t="shared" si="13"/>
        <v>104.204</v>
      </c>
      <c r="U39" s="60">
        <f t="shared" si="13"/>
        <v>7.105427357601002E-15</v>
      </c>
      <c r="V39" s="61">
        <f t="shared" si="13"/>
        <v>32.2356096</v>
      </c>
      <c r="W39" s="59">
        <f t="shared" si="13"/>
        <v>27.75175668</v>
      </c>
      <c r="X39" s="63">
        <f t="shared" si="13"/>
        <v>131.01102792</v>
      </c>
      <c r="Y39" s="63">
        <f t="shared" si="13"/>
        <v>141.22633928679207</v>
      </c>
      <c r="Z39" s="63">
        <f t="shared" si="13"/>
        <v>26.48480175</v>
      </c>
      <c r="AA39" s="63">
        <f t="shared" si="13"/>
        <v>6.18020015</v>
      </c>
      <c r="AB39" s="63">
        <f t="shared" si="13"/>
        <v>14.783614999999998</v>
      </c>
      <c r="AC39" s="63">
        <f t="shared" si="13"/>
        <v>11.001047000000003</v>
      </c>
      <c r="AD39" s="61">
        <f t="shared" si="13"/>
        <v>10.410279000000001</v>
      </c>
      <c r="AE39" s="61">
        <f t="shared" si="13"/>
        <v>11.473023</v>
      </c>
      <c r="AF39" s="65">
        <f t="shared" si="13"/>
        <v>55.795</v>
      </c>
      <c r="AI39" s="46">
        <f aca="true" t="shared" si="14" ref="AI39:AS39">SUM(AI7:AI38)</f>
        <v>102.59713805305373</v>
      </c>
      <c r="AJ39" s="46">
        <f t="shared" si="14"/>
        <v>2.4</v>
      </c>
      <c r="AK39" s="46">
        <f t="shared" si="14"/>
        <v>158.84909864910668</v>
      </c>
      <c r="AL39" s="46">
        <f t="shared" si="14"/>
        <v>137.5</v>
      </c>
      <c r="AM39" s="46">
        <f t="shared" si="14"/>
        <v>40.400000000000006</v>
      </c>
      <c r="AN39" s="46">
        <f t="shared" si="14"/>
        <v>55.88812601523435</v>
      </c>
      <c r="AO39" s="46">
        <f t="shared" si="14"/>
        <v>8.716843473968616</v>
      </c>
      <c r="AP39" s="46">
        <f t="shared" si="14"/>
        <v>5.896375194845682</v>
      </c>
      <c r="AQ39" s="46">
        <f t="shared" si="14"/>
        <v>0.1828070248363296</v>
      </c>
      <c r="AR39" s="46">
        <f t="shared" si="14"/>
        <v>5.5</v>
      </c>
      <c r="AS39" s="46">
        <f t="shared" si="14"/>
        <v>0</v>
      </c>
      <c r="AT39" s="46">
        <f>SUM(AT7:AT38)</f>
        <v>517.9303884110454</v>
      </c>
      <c r="AU39" s="46">
        <f>SUM(AU7:AU38)</f>
        <v>-2.858824288409778E-15</v>
      </c>
      <c r="AV39" s="46">
        <f>SUM(AV7:AV38)</f>
        <v>104.85422391146213</v>
      </c>
      <c r="AY39" s="94"/>
    </row>
    <row r="40" spans="1:46" ht="12.75">
      <c r="A40" s="66">
        <f aca="true" t="shared" si="15" ref="A40:K40">A$39*A48/1000</f>
        <v>16.71599587628866</v>
      </c>
      <c r="B40" s="67">
        <f t="shared" si="15"/>
        <v>0.16440000000000002</v>
      </c>
      <c r="C40" s="67">
        <f t="shared" si="15"/>
        <v>11.044470400000002</v>
      </c>
      <c r="D40" s="67">
        <f t="shared" si="15"/>
        <v>10.175</v>
      </c>
      <c r="E40" s="67">
        <f t="shared" si="15"/>
        <v>2.9492000000000003</v>
      </c>
      <c r="F40" s="67">
        <f t="shared" si="15"/>
        <v>0</v>
      </c>
      <c r="G40" s="67">
        <f t="shared" si="15"/>
        <v>0</v>
      </c>
      <c r="H40" s="67">
        <f t="shared" si="15"/>
        <v>0</v>
      </c>
      <c r="I40" s="67">
        <f t="shared" si="15"/>
        <v>0</v>
      </c>
      <c r="J40" s="67">
        <f t="shared" si="15"/>
        <v>0</v>
      </c>
      <c r="K40" s="67">
        <f t="shared" si="15"/>
        <v>0</v>
      </c>
      <c r="L40" s="67">
        <f>SUM(A40:K40)</f>
        <v>41.04906627628866</v>
      </c>
      <c r="M40" s="68" t="s">
        <v>65</v>
      </c>
      <c r="N40" s="69"/>
      <c r="O40" s="90">
        <f>L40*1000/$I$1</f>
        <v>9.506499832396633</v>
      </c>
      <c r="P40" s="83" t="s">
        <v>71</v>
      </c>
      <c r="Q40" s="83"/>
      <c r="R40" s="69"/>
      <c r="S40" s="97">
        <f>AT40*1000/$I$1</f>
        <v>9.696471500864916</v>
      </c>
      <c r="T40" s="83" t="str">
        <f>P40&amp;", graddagskorrigeret"</f>
        <v>tons/indbygger, graddagskorrigeret</v>
      </c>
      <c r="U40" s="83"/>
      <c r="V40" s="83"/>
      <c r="W40" s="83"/>
      <c r="X40" s="69"/>
      <c r="Y40" s="95">
        <f>3112/2886.9</f>
        <v>1.0779729121202675</v>
      </c>
      <c r="Z40" s="2"/>
      <c r="AA40" s="2"/>
      <c r="AB40" s="2"/>
      <c r="AC40" s="2"/>
      <c r="AI40" s="46">
        <f>AI$39*A48/1000</f>
        <v>16.82593064070081</v>
      </c>
      <c r="AJ40" s="46">
        <f aca="true" t="shared" si="16" ref="AJ40:AS40">AJ$39*B48/1000</f>
        <v>0.16440000000000002</v>
      </c>
      <c r="AK40" s="46">
        <f t="shared" si="16"/>
        <v>11.754833300033894</v>
      </c>
      <c r="AL40" s="46">
        <f t="shared" si="16"/>
        <v>10.175</v>
      </c>
      <c r="AM40" s="46">
        <f t="shared" si="16"/>
        <v>2.9492000000000003</v>
      </c>
      <c r="AN40" s="46">
        <f>AN$39*F48/1000</f>
        <v>0</v>
      </c>
      <c r="AO40" s="46">
        <f t="shared" si="16"/>
        <v>0</v>
      </c>
      <c r="AP40" s="46">
        <f t="shared" si="16"/>
        <v>0</v>
      </c>
      <c r="AQ40" s="46">
        <f t="shared" si="16"/>
        <v>0</v>
      </c>
      <c r="AR40" s="46">
        <f t="shared" si="16"/>
        <v>0</v>
      </c>
      <c r="AS40" s="46">
        <f t="shared" si="16"/>
        <v>0</v>
      </c>
      <c r="AT40" s="46">
        <f>SUM(AI40:AS40)</f>
        <v>41.86936394073471</v>
      </c>
    </row>
    <row r="41" spans="1:46" ht="12.75">
      <c r="A41" s="29">
        <f aca="true" t="shared" si="17" ref="A41:K41">A$39*A49</f>
        <v>17.32755670103093</v>
      </c>
      <c r="B41" s="31">
        <f t="shared" si="17"/>
        <v>0</v>
      </c>
      <c r="C41" s="31">
        <f t="shared" si="17"/>
        <v>14.029462400000002</v>
      </c>
      <c r="D41" s="31">
        <f t="shared" si="17"/>
        <v>12.925</v>
      </c>
      <c r="E41" s="31">
        <f t="shared" si="17"/>
        <v>0.8888</v>
      </c>
      <c r="F41" s="31">
        <f t="shared" si="17"/>
        <v>6.826144</v>
      </c>
      <c r="G41" s="31">
        <f t="shared" si="17"/>
        <v>0.12284999999999999</v>
      </c>
      <c r="H41" s="31">
        <f t="shared" si="17"/>
        <v>0.0831</v>
      </c>
      <c r="I41" s="31">
        <f t="shared" si="17"/>
        <v>0</v>
      </c>
      <c r="J41" s="31">
        <f t="shared" si="17"/>
        <v>0</v>
      </c>
      <c r="K41" s="31">
        <f t="shared" si="17"/>
        <v>0</v>
      </c>
      <c r="L41" s="31">
        <f>SUM(A41:K41)</f>
        <v>52.20291310103093</v>
      </c>
      <c r="M41" s="36" t="s">
        <v>66</v>
      </c>
      <c r="N41" s="70"/>
      <c r="O41" s="91">
        <f>L41*1000/$I$1</f>
        <v>12.08960470148933</v>
      </c>
      <c r="P41" s="37" t="s">
        <v>72</v>
      </c>
      <c r="Q41" s="37"/>
      <c r="R41" s="70"/>
      <c r="S41" s="98">
        <f>AT41*1000/$I$1</f>
        <v>12.429778463188478</v>
      </c>
      <c r="T41" s="37" t="str">
        <f>P41&amp;", graddagskorrigeret"</f>
        <v>kg/indbygger, graddagskorrigeret</v>
      </c>
      <c r="U41" s="37"/>
      <c r="V41" s="37"/>
      <c r="W41" s="37"/>
      <c r="X41" s="70"/>
      <c r="AI41" s="46">
        <f>AI$39*A49</f>
        <v>17.441513469019135</v>
      </c>
      <c r="AJ41" s="46">
        <f aca="true" t="shared" si="18" ref="AJ41:AS42">AJ$39*B49</f>
        <v>0</v>
      </c>
      <c r="AK41" s="46">
        <f t="shared" si="18"/>
        <v>14.931815273016028</v>
      </c>
      <c r="AL41" s="46">
        <f t="shared" si="18"/>
        <v>12.925</v>
      </c>
      <c r="AM41" s="46">
        <f t="shared" si="18"/>
        <v>0.8888</v>
      </c>
      <c r="AN41" s="46">
        <f t="shared" si="18"/>
        <v>7.265456381980465</v>
      </c>
      <c r="AO41" s="46">
        <f t="shared" si="18"/>
        <v>0.13075265210952924</v>
      </c>
      <c r="AP41" s="46">
        <f t="shared" si="18"/>
        <v>0.08844562792268522</v>
      </c>
      <c r="AQ41" s="46">
        <f t="shared" si="18"/>
        <v>0</v>
      </c>
      <c r="AR41" s="46">
        <f t="shared" si="18"/>
        <v>0</v>
      </c>
      <c r="AS41" s="46">
        <f t="shared" si="18"/>
        <v>0</v>
      </c>
      <c r="AT41" s="46">
        <f>SUM(AI41:AS41)</f>
        <v>53.67178340404785</v>
      </c>
    </row>
    <row r="42" spans="1:46" ht="13.5" thickBot="1">
      <c r="A42" s="29">
        <f aca="true" t="shared" si="19" ref="A42:K42">A$39*A50</f>
        <v>34.65511340206186</v>
      </c>
      <c r="B42" s="31">
        <f t="shared" si="19"/>
        <v>0.24</v>
      </c>
      <c r="C42" s="31">
        <f t="shared" si="19"/>
        <v>14.924960000000002</v>
      </c>
      <c r="D42" s="31">
        <f t="shared" si="19"/>
        <v>209</v>
      </c>
      <c r="E42" s="31">
        <f t="shared" si="19"/>
        <v>29.492000000000004</v>
      </c>
      <c r="F42" s="31">
        <f t="shared" si="19"/>
        <v>4.725792</v>
      </c>
      <c r="G42" s="31">
        <f t="shared" si="19"/>
        <v>0.7371</v>
      </c>
      <c r="H42" s="31">
        <f t="shared" si="19"/>
        <v>0.4986</v>
      </c>
      <c r="I42" s="31">
        <f t="shared" si="19"/>
        <v>0</v>
      </c>
      <c r="J42" s="31">
        <f t="shared" si="19"/>
        <v>0</v>
      </c>
      <c r="K42" s="31">
        <f t="shared" si="19"/>
        <v>0</v>
      </c>
      <c r="L42" s="31">
        <f>SUM(A42:K42)</f>
        <v>294.27356540206193</v>
      </c>
      <c r="M42" s="36" t="s">
        <v>89</v>
      </c>
      <c r="N42" s="70"/>
      <c r="O42" s="92">
        <f>L42*1000/$I$1</f>
        <v>68.15043200603564</v>
      </c>
      <c r="P42" s="88" t="s">
        <v>72</v>
      </c>
      <c r="Q42" s="88"/>
      <c r="R42" s="74"/>
      <c r="S42" s="99">
        <f>AT42*1000/$I$1</f>
        <v>68.51437189080902</v>
      </c>
      <c r="T42" s="88" t="str">
        <f>P42&amp;", graddagskorrigeret"</f>
        <v>kg/indbygger, graddagskorrigeret</v>
      </c>
      <c r="U42" s="88"/>
      <c r="V42" s="88"/>
      <c r="W42" s="88"/>
      <c r="X42" s="74"/>
      <c r="AI42" s="46">
        <f>AI$39*A50</f>
        <v>34.88302693803827</v>
      </c>
      <c r="AJ42" s="46">
        <f t="shared" si="18"/>
        <v>0.24</v>
      </c>
      <c r="AK42" s="46">
        <f t="shared" si="18"/>
        <v>15.884909864910668</v>
      </c>
      <c r="AL42" s="46">
        <f t="shared" si="18"/>
        <v>209</v>
      </c>
      <c r="AM42" s="46">
        <f t="shared" si="18"/>
        <v>29.492000000000004</v>
      </c>
      <c r="AN42" s="46">
        <f t="shared" si="18"/>
        <v>5.029931341371091</v>
      </c>
      <c r="AO42" s="46">
        <f t="shared" si="18"/>
        <v>0.7845159126571755</v>
      </c>
      <c r="AP42" s="46">
        <f t="shared" si="18"/>
        <v>0.5306737675361113</v>
      </c>
      <c r="AQ42" s="46">
        <f t="shared" si="18"/>
        <v>0</v>
      </c>
      <c r="AR42" s="46">
        <f t="shared" si="18"/>
        <v>0</v>
      </c>
      <c r="AS42" s="46">
        <f t="shared" si="18"/>
        <v>0</v>
      </c>
      <c r="AT42" s="46">
        <f>SUM(AI42:AS42)</f>
        <v>295.84505782451333</v>
      </c>
    </row>
    <row r="43" spans="1:24" ht="13.5" hidden="1" thickBot="1">
      <c r="A43" s="71" t="e">
        <f>A$39*#REF!</f>
        <v>#REF!</v>
      </c>
      <c r="B43" s="72" t="e">
        <f>B$39*#REF!</f>
        <v>#REF!</v>
      </c>
      <c r="C43" s="72" t="e">
        <f>C$39*#REF!</f>
        <v>#REF!</v>
      </c>
      <c r="D43" s="72" t="e">
        <f>D$39*#REF!</f>
        <v>#REF!</v>
      </c>
      <c r="E43" s="72" t="e">
        <f>E$39*#REF!</f>
        <v>#REF!</v>
      </c>
      <c r="F43" s="72" t="e">
        <f>F$39*#REF!</f>
        <v>#REF!</v>
      </c>
      <c r="G43" s="72" t="e">
        <f>G$39*#REF!</f>
        <v>#REF!</v>
      </c>
      <c r="H43" s="72" t="e">
        <f>H$39*#REF!</f>
        <v>#REF!</v>
      </c>
      <c r="I43" s="72" t="e">
        <f>I$39*#REF!</f>
        <v>#REF!</v>
      </c>
      <c r="J43" s="72" t="e">
        <f>J$39*#REF!</f>
        <v>#REF!</v>
      </c>
      <c r="K43" s="72" t="e">
        <f>K$39*#REF!</f>
        <v>#REF!</v>
      </c>
      <c r="L43" s="72" t="e">
        <f>SUM(A43:K43)</f>
        <v>#REF!</v>
      </c>
      <c r="M43" s="73" t="s">
        <v>67</v>
      </c>
      <c r="N43" s="74"/>
      <c r="S43" s="14"/>
      <c r="T43" s="18" t="str">
        <f>P43&amp;", graddagskorrigeret"</f>
        <v>, graddagskorrigeret</v>
      </c>
      <c r="U43" s="18"/>
      <c r="V43" s="18"/>
      <c r="W43" s="18"/>
      <c r="X43" s="20"/>
    </row>
    <row r="44" spans="1:24" ht="12.75">
      <c r="A44" s="66"/>
      <c r="B44" s="67"/>
      <c r="C44" s="67"/>
      <c r="D44" s="67"/>
      <c r="E44" s="67"/>
      <c r="F44" s="67">
        <v>117.4</v>
      </c>
      <c r="G44" s="67"/>
      <c r="H44" s="67">
        <v>9.8</v>
      </c>
      <c r="I44" s="67"/>
      <c r="J44" s="67"/>
      <c r="K44" s="67">
        <v>145.1</v>
      </c>
      <c r="L44" s="67">
        <f>SUM(A44:K44)</f>
        <v>272.3</v>
      </c>
      <c r="M44" s="68" t="s">
        <v>68</v>
      </c>
      <c r="N44" s="69"/>
      <c r="O44" s="100">
        <f>SUM(F39:K39)/L39</f>
        <v>0.14286747154294638</v>
      </c>
      <c r="P44" s="2" t="s">
        <v>73</v>
      </c>
      <c r="Q44" s="2"/>
      <c r="R44" s="3"/>
      <c r="S44" s="100">
        <f>SUM(AN39:AS39)/AT39</f>
        <v>0.14709341914192323</v>
      </c>
      <c r="T44" s="2" t="str">
        <f>P44&amp;", graddagskorrigeret"</f>
        <v>Vedvarende , graddagskorrigeret</v>
      </c>
      <c r="U44" s="2"/>
      <c r="V44" s="2"/>
      <c r="W44" s="2"/>
      <c r="X44" s="3"/>
    </row>
    <row r="45" spans="1:24" ht="13.5" thickBot="1">
      <c r="A45" s="75"/>
      <c r="B45" s="76"/>
      <c r="C45" s="76"/>
      <c r="D45" s="76"/>
      <c r="E45" s="76"/>
      <c r="F45" s="77">
        <f>F39/F44</f>
        <v>0.44726405451448037</v>
      </c>
      <c r="G45" s="76"/>
      <c r="H45" s="77">
        <f>H39/H44</f>
        <v>0.5653061224489796</v>
      </c>
      <c r="I45" s="76"/>
      <c r="J45" s="76"/>
      <c r="K45" s="77">
        <f>K39/K44</f>
        <v>0</v>
      </c>
      <c r="L45" s="102">
        <f>SUM(F39,H39,K39)/L44</f>
        <v>0.21317958134410575</v>
      </c>
      <c r="M45" s="73" t="s">
        <v>69</v>
      </c>
      <c r="N45" s="74"/>
      <c r="O45" s="11"/>
      <c r="P45" s="12" t="s">
        <v>74</v>
      </c>
      <c r="Q45" s="12"/>
      <c r="R45" s="13"/>
      <c r="S45" s="11"/>
      <c r="T45" s="12" t="str">
        <f>P45</f>
        <v>Energi</v>
      </c>
      <c r="U45" s="12"/>
      <c r="V45" s="12"/>
      <c r="W45" s="12"/>
      <c r="X45" s="13"/>
    </row>
    <row r="46" ht="13.5" thickBot="1">
      <c r="M46" s="5"/>
    </row>
    <row r="47" spans="1:13" ht="52.5" customHeight="1" thickBot="1">
      <c r="A47" s="78" t="str">
        <f aca="true" t="shared" si="20" ref="A47:K47">A6</f>
        <v>elimport</v>
      </c>
      <c r="B47" s="79" t="str">
        <f t="shared" si="20"/>
        <v>LPG og petroleum</v>
      </c>
      <c r="C47" s="79" t="str">
        <f t="shared" si="20"/>
        <v>Olie</v>
      </c>
      <c r="D47" s="79" t="str">
        <f t="shared" si="20"/>
        <v>Diesel</v>
      </c>
      <c r="E47" s="79" t="str">
        <f t="shared" si="20"/>
        <v>Benzin</v>
      </c>
      <c r="F47" s="79" t="str">
        <f t="shared" si="20"/>
        <v>Halm</v>
      </c>
      <c r="G47" s="79" t="str">
        <f t="shared" si="20"/>
        <v>Træpiller</v>
      </c>
      <c r="H47" s="79" t="str">
        <f t="shared" si="20"/>
        <v>Træ og træflis</v>
      </c>
      <c r="I47" s="79" t="str">
        <f t="shared" si="20"/>
        <v>Solvarme</v>
      </c>
      <c r="J47" s="79" t="str">
        <f t="shared" si="20"/>
        <v>Vind</v>
      </c>
      <c r="K47" s="79" t="str">
        <f t="shared" si="20"/>
        <v>Biogas</v>
      </c>
      <c r="M47" s="5"/>
    </row>
    <row r="48" spans="1:17" ht="12.75">
      <c r="A48" s="80">
        <v>164</v>
      </c>
      <c r="B48" s="81">
        <v>68.5</v>
      </c>
      <c r="C48" s="81">
        <v>74</v>
      </c>
      <c r="D48" s="81">
        <v>74</v>
      </c>
      <c r="E48" s="81">
        <v>73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2" t="str">
        <f>"CO2-emissionsværdier (ton/"&amp;$C$3&amp;")"</f>
        <v>CO2-emissionsværdier (ton/TJ)</v>
      </c>
      <c r="M48" s="83"/>
      <c r="N48" s="69"/>
      <c r="Q48" s="84"/>
    </row>
    <row r="49" spans="1:14" ht="12.75">
      <c r="A49" s="85">
        <v>0.17</v>
      </c>
      <c r="B49" s="35">
        <v>0</v>
      </c>
      <c r="C49" s="35">
        <v>0.094</v>
      </c>
      <c r="D49" s="35">
        <v>0.094</v>
      </c>
      <c r="E49" s="35">
        <v>0.022</v>
      </c>
      <c r="F49" s="35">
        <v>0.13</v>
      </c>
      <c r="G49" s="35">
        <v>0.015</v>
      </c>
      <c r="H49" s="35">
        <v>0.015</v>
      </c>
      <c r="I49" s="35">
        <v>0</v>
      </c>
      <c r="J49" s="35">
        <v>0</v>
      </c>
      <c r="K49" s="35">
        <v>0</v>
      </c>
      <c r="L49" s="86" t="str">
        <f>"SO2-emissionsværdier (ton/"&amp;$C$3&amp;")"</f>
        <v>SO2-emissionsværdier (ton/TJ)</v>
      </c>
      <c r="M49" s="37"/>
      <c r="N49" s="70"/>
    </row>
    <row r="50" spans="1:14" ht="13.5" thickBot="1">
      <c r="A50" s="75">
        <v>0.34</v>
      </c>
      <c r="B50" s="76">
        <v>0.1</v>
      </c>
      <c r="C50" s="76">
        <v>0.1</v>
      </c>
      <c r="D50" s="76">
        <v>1.52</v>
      </c>
      <c r="E50" s="76">
        <v>0.73</v>
      </c>
      <c r="F50" s="76">
        <v>0.09</v>
      </c>
      <c r="G50" s="76">
        <v>0.09</v>
      </c>
      <c r="H50" s="76">
        <v>0.09</v>
      </c>
      <c r="I50" s="76">
        <v>0</v>
      </c>
      <c r="J50" s="76">
        <v>0</v>
      </c>
      <c r="K50" s="76">
        <v>0.2</v>
      </c>
      <c r="L50" s="87" t="str">
        <f>"NOx-emissionsværdier (ton/"&amp;$C$3&amp;")"</f>
        <v>NOx-emissionsværdier (ton/TJ)</v>
      </c>
      <c r="M50" s="88"/>
      <c r="N50" s="74"/>
    </row>
  </sheetData>
  <mergeCells count="1">
    <mergeCell ref="C2:D2"/>
  </mergeCells>
  <dataValidations count="1">
    <dataValidation type="list" allowBlank="1" showInputMessage="1" showErrorMessage="1" promptTitle="Energienhed" prompt="Vælg her en passende energienhed" sqref="C3">
      <formula1>enhedsliste</formula1>
    </dataValidation>
  </dataValidations>
  <printOptions headings="1"/>
  <pageMargins left="0.45" right="0.45" top="0.7" bottom="0.55" header="0.5118110236220472" footer="0.33"/>
  <pageSetup cellComments="atEnd" fitToHeight="1" fitToWidth="1" horizontalDpi="600" verticalDpi="600" orientation="landscape" paperSize="9" scale="71" r:id="rId1"/>
  <headerFooter alignWithMargins="0">
    <oddHeader>&amp;LPlanEnergi&amp;C&amp;A</oddHeader>
    <oddFooter>&amp;L&amp;F&amp;C&amp;P&amp;R&amp;T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11">
    <pageSetUpPr fitToPage="1"/>
  </sheetPr>
  <dimension ref="A1:AY50"/>
  <sheetViews>
    <sheetView showGridLines="0" zoomScale="75" zoomScaleNormal="75" workbookViewId="0" topLeftCell="A10">
      <selection activeCell="Y40" sqref="Y40"/>
    </sheetView>
  </sheetViews>
  <sheetFormatPr defaultColWidth="9.33203125" defaultRowHeight="12.75"/>
  <cols>
    <col min="1" max="1" width="6.5" style="0" customWidth="1"/>
    <col min="2" max="2" width="6.16015625" style="0" customWidth="1"/>
    <col min="3" max="3" width="6.83203125" style="0" customWidth="1"/>
    <col min="4" max="4" width="7.16015625" style="0" customWidth="1"/>
    <col min="5" max="11" width="5.83203125" style="0" customWidth="1"/>
    <col min="12" max="12" width="7.33203125" style="0" customWidth="1"/>
    <col min="13" max="13" width="23.16015625" style="0" customWidth="1"/>
    <col min="14" max="14" width="4.83203125" style="0" customWidth="1"/>
    <col min="15" max="15" width="6.66015625" style="0" customWidth="1"/>
    <col min="16" max="18" width="4.83203125" style="0" customWidth="1"/>
    <col min="19" max="19" width="7.16015625" style="0" customWidth="1"/>
    <col min="20" max="20" width="6.33203125" style="0" customWidth="1"/>
    <col min="21" max="21" width="7" style="0" customWidth="1"/>
    <col min="22" max="22" width="7.16015625" style="0" customWidth="1"/>
    <col min="23" max="23" width="6" style="0" customWidth="1"/>
    <col min="24" max="25" width="6.83203125" style="0" customWidth="1"/>
    <col min="26" max="31" width="5.83203125" style="0" customWidth="1"/>
    <col min="32" max="32" width="6.33203125" style="0" customWidth="1"/>
    <col min="35" max="45" width="5.83203125" style="0" customWidth="1"/>
    <col min="46" max="46" width="6.5" style="0" customWidth="1"/>
    <col min="47" max="47" width="6.66015625" style="0" customWidth="1"/>
    <col min="48" max="48" width="6" style="0" customWidth="1"/>
    <col min="49" max="50" width="5.83203125" style="0" customWidth="1"/>
  </cols>
  <sheetData>
    <row r="1" spans="1:32" ht="12.75">
      <c r="A1" s="1" t="s">
        <v>0</v>
      </c>
      <c r="B1" s="2"/>
      <c r="C1" s="2" t="s">
        <v>1</v>
      </c>
      <c r="D1" s="3"/>
      <c r="E1" s="1" t="s">
        <v>70</v>
      </c>
      <c r="F1" s="2"/>
      <c r="G1" s="2"/>
      <c r="H1" s="2"/>
      <c r="I1" s="3">
        <v>4266</v>
      </c>
      <c r="S1" s="93" t="s">
        <v>82</v>
      </c>
      <c r="T1" s="93">
        <v>0.155</v>
      </c>
      <c r="U1" s="93"/>
      <c r="V1" s="93"/>
      <c r="W1" s="139">
        <f>(11.1+2.8+0.095)*0.175</f>
        <v>2.4491249999999996</v>
      </c>
      <c r="X1" s="139">
        <f>(11.1+2.8+0.095)*0.825</f>
        <v>11.545874999999999</v>
      </c>
      <c r="Y1" s="93"/>
      <c r="Z1" s="142">
        <f>0.49+0.039+0.001+17.273+2.177+0.078+0.972+0.019</f>
        <v>21.049</v>
      </c>
      <c r="AA1" s="140">
        <f>3.46+2.52</f>
        <v>5.98</v>
      </c>
      <c r="AB1" s="140">
        <f>23.39+0.457+0.101+0.383</f>
        <v>24.331</v>
      </c>
      <c r="AC1" s="140">
        <f>10.612+0.159+0.087+0.25+0.707+0.672</f>
        <v>12.487000000000002</v>
      </c>
      <c r="AD1" s="141">
        <f>7.557+0.296+2.203+0.128+0.838</f>
        <v>11.022</v>
      </c>
      <c r="AE1" s="140">
        <f>6.365+0.933+2.15+0.979+1.449+0.821+1.82+0.669</f>
        <v>15.186</v>
      </c>
      <c r="AF1" s="93"/>
    </row>
    <row r="2" spans="1:32" ht="12.75">
      <c r="A2" s="4" t="s">
        <v>2</v>
      </c>
      <c r="B2" s="5"/>
      <c r="C2" s="153">
        <v>2001</v>
      </c>
      <c r="D2" s="154"/>
      <c r="E2" s="4"/>
      <c r="F2" s="5"/>
      <c r="G2" s="5"/>
      <c r="H2" s="5"/>
      <c r="I2" s="89"/>
      <c r="S2" s="93" t="s">
        <v>81</v>
      </c>
      <c r="T2" s="93">
        <v>0.361</v>
      </c>
      <c r="U2" s="93"/>
      <c r="V2" s="93"/>
      <c r="W2" s="139">
        <f>(0.155+6.211+1.797+0.018)*0.175</f>
        <v>1.431675</v>
      </c>
      <c r="X2" s="139">
        <f>(0.155+6.211+1.797+0.018)*0.825</f>
        <v>6.749325000000001</v>
      </c>
      <c r="Y2" s="93"/>
      <c r="Z2" s="139">
        <f>0.555+0.057+0.023+16.774+4.82+0.114+6.829+0.114</f>
        <v>29.286000000000005</v>
      </c>
      <c r="AA2" s="93">
        <f>3.545+3.891</f>
        <v>7.436</v>
      </c>
      <c r="AB2" s="93">
        <f>17.852+0.299+0.082+0.404</f>
        <v>18.637</v>
      </c>
      <c r="AC2" s="140">
        <f>5.15+0.03+0.12+0.099+0.185+0.915+0.78</f>
        <v>7.279000000000001</v>
      </c>
      <c r="AD2" s="141">
        <f>10.557+0.822+2.31+0.12+0.845</f>
        <v>14.654</v>
      </c>
      <c r="AE2" s="140">
        <f>2.626+1.967+1.758+0.952+1.392+0.91+1.658+1.015</f>
        <v>12.278</v>
      </c>
      <c r="AF2" s="93"/>
    </row>
    <row r="3" spans="1:26" ht="13.5" thickBot="1">
      <c r="A3" s="11" t="s">
        <v>3</v>
      </c>
      <c r="B3" s="12"/>
      <c r="C3" s="12" t="s">
        <v>4</v>
      </c>
      <c r="D3" s="13"/>
      <c r="E3" s="11"/>
      <c r="F3" s="12"/>
      <c r="G3" s="12"/>
      <c r="H3" s="12"/>
      <c r="I3" s="13"/>
      <c r="W3" s="46"/>
      <c r="X3" s="46"/>
      <c r="Z3" s="46"/>
    </row>
    <row r="4" spans="1:35" ht="13.5" thickBot="1">
      <c r="A4" s="14"/>
      <c r="B4" s="2"/>
      <c r="C4" s="2"/>
      <c r="D4" s="15"/>
      <c r="E4" s="15"/>
      <c r="F4" s="15"/>
      <c r="G4" s="15"/>
      <c r="H4" s="15"/>
      <c r="I4" s="15"/>
      <c r="J4" s="15"/>
      <c r="K4" s="15"/>
      <c r="L4" s="15"/>
      <c r="M4" s="16" t="str">
        <f>"Energibalance, "&amp;sted&amp;" "&amp;år</f>
        <v>Energibalance, Samsø 2001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7"/>
      <c r="AI4" t="s">
        <v>83</v>
      </c>
    </row>
    <row r="5" spans="1:49" ht="13.5" thickBot="1">
      <c r="A5" s="14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6</v>
      </c>
      <c r="N5" s="18" t="s">
        <v>7</v>
      </c>
      <c r="O5" s="18"/>
      <c r="P5" s="18"/>
      <c r="Q5" s="18"/>
      <c r="R5" s="18"/>
      <c r="S5" s="14" t="s">
        <v>8</v>
      </c>
      <c r="T5" s="20"/>
      <c r="U5" s="18" t="s">
        <v>9</v>
      </c>
      <c r="V5" s="18"/>
      <c r="W5" s="14" t="s">
        <v>10</v>
      </c>
      <c r="X5" s="18"/>
      <c r="Y5" s="18"/>
      <c r="Z5" s="18"/>
      <c r="AA5" s="18"/>
      <c r="AB5" s="18"/>
      <c r="AC5" s="18"/>
      <c r="AD5" s="18"/>
      <c r="AE5" s="18"/>
      <c r="AF5" s="20"/>
      <c r="AI5" t="str">
        <f>A5</f>
        <v>Brændsel</v>
      </c>
      <c r="AU5" t="str">
        <f>S5</f>
        <v>El-net</v>
      </c>
      <c r="AW5" t="str">
        <f>U5</f>
        <v>Fjv-net</v>
      </c>
    </row>
    <row r="6" spans="1:51" s="28" customFormat="1" ht="62.25" customHeight="1" thickBot="1">
      <c r="A6" s="21" t="s">
        <v>11</v>
      </c>
      <c r="B6" s="22" t="s">
        <v>12</v>
      </c>
      <c r="C6" s="22" t="s">
        <v>13</v>
      </c>
      <c r="D6" s="23" t="s">
        <v>14</v>
      </c>
      <c r="E6" s="23" t="s">
        <v>15</v>
      </c>
      <c r="F6" s="23" t="s">
        <v>16</v>
      </c>
      <c r="G6" s="23" t="s">
        <v>17</v>
      </c>
      <c r="H6" s="23" t="s">
        <v>18</v>
      </c>
      <c r="I6" s="23" t="s">
        <v>19</v>
      </c>
      <c r="J6" s="23" t="s">
        <v>20</v>
      </c>
      <c r="K6" s="23" t="s">
        <v>21</v>
      </c>
      <c r="L6" s="24" t="s">
        <v>22</v>
      </c>
      <c r="M6" s="25" t="s">
        <v>23</v>
      </c>
      <c r="N6" s="22" t="s">
        <v>24</v>
      </c>
      <c r="O6" s="23" t="s">
        <v>25</v>
      </c>
      <c r="P6" s="24" t="s">
        <v>26</v>
      </c>
      <c r="Q6" s="23" t="s">
        <v>8</v>
      </c>
      <c r="R6" s="26" t="s">
        <v>9</v>
      </c>
      <c r="S6" s="21" t="s">
        <v>27</v>
      </c>
      <c r="T6" s="27" t="s">
        <v>28</v>
      </c>
      <c r="U6" s="22" t="s">
        <v>27</v>
      </c>
      <c r="V6" s="24" t="s">
        <v>28</v>
      </c>
      <c r="W6" s="21" t="s">
        <v>29</v>
      </c>
      <c r="X6" s="23" t="s">
        <v>30</v>
      </c>
      <c r="Y6" s="23" t="s">
        <v>31</v>
      </c>
      <c r="Z6" s="23" t="s">
        <v>75</v>
      </c>
      <c r="AA6" s="23" t="s">
        <v>76</v>
      </c>
      <c r="AB6" s="23" t="s">
        <v>77</v>
      </c>
      <c r="AC6" s="23" t="s">
        <v>78</v>
      </c>
      <c r="AD6" s="24" t="s">
        <v>79</v>
      </c>
      <c r="AE6" s="24" t="s">
        <v>80</v>
      </c>
      <c r="AF6" s="27" t="s">
        <v>32</v>
      </c>
      <c r="AI6" s="28" t="str">
        <f>A6</f>
        <v>elimport</v>
      </c>
      <c r="AJ6" s="28" t="str">
        <f aca="true" t="shared" si="0" ref="AJ6:AS6">B6</f>
        <v>LPG og petroleum</v>
      </c>
      <c r="AK6" s="28" t="str">
        <f t="shared" si="0"/>
        <v>Olie</v>
      </c>
      <c r="AL6" s="28" t="str">
        <f t="shared" si="0"/>
        <v>Diesel</v>
      </c>
      <c r="AM6" s="28" t="str">
        <f t="shared" si="0"/>
        <v>Benzin</v>
      </c>
      <c r="AN6" s="28" t="str">
        <f t="shared" si="0"/>
        <v>Halm</v>
      </c>
      <c r="AO6" s="28" t="str">
        <f t="shared" si="0"/>
        <v>Træpiller</v>
      </c>
      <c r="AP6" s="28" t="str">
        <f t="shared" si="0"/>
        <v>Træ og træflis</v>
      </c>
      <c r="AQ6" s="28" t="str">
        <f t="shared" si="0"/>
        <v>Solvarme</v>
      </c>
      <c r="AR6" s="28" t="str">
        <f t="shared" si="0"/>
        <v>Vind</v>
      </c>
      <c r="AS6" s="28" t="str">
        <f t="shared" si="0"/>
        <v>Biogas</v>
      </c>
      <c r="AT6" s="28" t="str">
        <f>L6</f>
        <v>Samlet</v>
      </c>
      <c r="AU6" s="28" t="str">
        <f>S6</f>
        <v>ab værk</v>
      </c>
      <c r="AV6" s="28" t="str">
        <f>T6</f>
        <v>an forbruger</v>
      </c>
      <c r="AW6" s="28" t="str">
        <f>U6</f>
        <v>ab værk</v>
      </c>
      <c r="AX6" s="28" t="str">
        <f>V6</f>
        <v>an forbruger</v>
      </c>
      <c r="AY6" s="28" t="s">
        <v>84</v>
      </c>
    </row>
    <row r="7" spans="1:51" ht="12.75">
      <c r="A7" s="29"/>
      <c r="B7" s="30">
        <f>2.03+0.07</f>
        <v>2.0999999999999996</v>
      </c>
      <c r="C7" s="30"/>
      <c r="D7" s="31"/>
      <c r="E7" s="31"/>
      <c r="F7" s="31"/>
      <c r="G7" s="31"/>
      <c r="H7" s="31"/>
      <c r="I7" s="31"/>
      <c r="J7" s="31"/>
      <c r="K7" s="31"/>
      <c r="L7" s="32">
        <f>SUM(A7:K7)</f>
        <v>2.0999999999999996</v>
      </c>
      <c r="M7" s="33" t="s">
        <v>33</v>
      </c>
      <c r="N7" s="34"/>
      <c r="O7" s="35"/>
      <c r="P7" s="36">
        <v>38</v>
      </c>
      <c r="Q7" s="35"/>
      <c r="R7" s="37"/>
      <c r="S7" s="38"/>
      <c r="T7" s="39"/>
      <c r="U7" s="40"/>
      <c r="V7" s="41"/>
      <c r="W7" s="38"/>
      <c r="X7" s="42"/>
      <c r="Y7" s="42"/>
      <c r="Z7" s="42">
        <f>L7*P7/100</f>
        <v>0.7979999999999998</v>
      </c>
      <c r="AA7" s="42"/>
      <c r="AB7" s="42"/>
      <c r="AC7" s="42"/>
      <c r="AD7" s="41"/>
      <c r="AE7" s="41"/>
      <c r="AF7" s="39"/>
      <c r="AI7">
        <f aca="true" t="shared" si="1" ref="AI7:AI38">IF(A7&lt;&gt;0,$AT7,"")</f>
      </c>
      <c r="AJ7">
        <f aca="true" t="shared" si="2" ref="AJ7:AJ38">IF(B7&lt;&gt;0,$AT7,"")</f>
        <v>2.0999999999999996</v>
      </c>
      <c r="AK7">
        <f aca="true" t="shared" si="3" ref="AK7:AK38">IF(C7&lt;&gt;0,$AT7,"")</f>
      </c>
      <c r="AL7">
        <f aca="true" t="shared" si="4" ref="AL7:AL38">IF(D7&lt;&gt;0,$AT7,"")</f>
      </c>
      <c r="AM7">
        <f aca="true" t="shared" si="5" ref="AM7:AM38">IF(E7&lt;&gt;0,$AT7,"")</f>
      </c>
      <c r="AN7">
        <f aca="true" t="shared" si="6" ref="AN7:AN38">IF(F7&lt;&gt;0,$AT7,"")</f>
      </c>
      <c r="AO7">
        <f aca="true" t="shared" si="7" ref="AO7:AO38">IF(G7&lt;&gt;0,$AT7,"")</f>
      </c>
      <c r="AP7">
        <f aca="true" t="shared" si="8" ref="AP7:AP38">IF(H7&lt;&gt;0,$AT7,"")</f>
      </c>
      <c r="AQ7">
        <f aca="true" t="shared" si="9" ref="AQ7:AQ38">IF(I7&lt;&gt;0,$AT7,"")</f>
      </c>
      <c r="AR7">
        <f aca="true" t="shared" si="10" ref="AR7:AR38">IF(J7&lt;&gt;0,$AT7,"")</f>
      </c>
      <c r="AS7">
        <f aca="true" t="shared" si="11" ref="AS7:AS22">IF(K7&lt;&gt;0,$AT7,"")</f>
      </c>
      <c r="AT7" s="46">
        <f>IF(L7&lt;&gt;0,IF(Y7=0,L7,AY7/P7*100),"")</f>
        <v>2.0999999999999996</v>
      </c>
      <c r="AV7">
        <f>IF(T7&lt;&gt;0,AY7/P7*100,"")</f>
      </c>
      <c r="AY7" s="94">
        <f>SUM(W7,Y7:AF7)</f>
        <v>0.7979999999999998</v>
      </c>
    </row>
    <row r="8" spans="1:51" ht="12.75">
      <c r="A8" s="29"/>
      <c r="B8" s="30"/>
      <c r="C8" s="30"/>
      <c r="D8" s="31"/>
      <c r="E8" s="31"/>
      <c r="F8" s="31"/>
      <c r="G8" s="31"/>
      <c r="H8" s="31"/>
      <c r="I8" s="31"/>
      <c r="J8" s="31"/>
      <c r="K8" s="31"/>
      <c r="L8" s="32"/>
      <c r="M8" s="33" t="s">
        <v>34</v>
      </c>
      <c r="N8" s="34"/>
      <c r="O8" s="35"/>
      <c r="P8" s="36">
        <v>44</v>
      </c>
      <c r="Q8" s="35">
        <v>97</v>
      </c>
      <c r="R8" s="43"/>
      <c r="S8" s="38">
        <f>T8/Q8*100*-1</f>
        <v>-5.867948453608247</v>
      </c>
      <c r="T8" s="39">
        <f>SUM(W8:AF8)/P8*100</f>
        <v>5.69191</v>
      </c>
      <c r="U8" s="40"/>
      <c r="V8" s="41"/>
      <c r="W8" s="38"/>
      <c r="X8" s="42"/>
      <c r="Y8" s="42"/>
      <c r="Z8" s="42">
        <f>Z2*15.5%*P8/100</f>
        <v>1.9973052000000002</v>
      </c>
      <c r="AA8" s="42">
        <f>AA2*15.5%*P8/100</f>
        <v>0.5071352</v>
      </c>
      <c r="AB8" s="42"/>
      <c r="AC8" s="42"/>
      <c r="AD8" s="41"/>
      <c r="AE8" s="41"/>
      <c r="AF8" s="39"/>
      <c r="AI8">
        <f t="shared" si="1"/>
      </c>
      <c r="AJ8">
        <f t="shared" si="2"/>
      </c>
      <c r="AK8">
        <f t="shared" si="3"/>
      </c>
      <c r="AL8">
        <f t="shared" si="4"/>
      </c>
      <c r="AM8">
        <f t="shared" si="5"/>
      </c>
      <c r="AN8">
        <f t="shared" si="6"/>
      </c>
      <c r="AO8">
        <f t="shared" si="7"/>
      </c>
      <c r="AP8">
        <f t="shared" si="8"/>
      </c>
      <c r="AQ8">
        <f t="shared" si="9"/>
      </c>
      <c r="AR8">
        <f t="shared" si="10"/>
      </c>
      <c r="AS8">
        <f t="shared" si="11"/>
      </c>
      <c r="AT8" s="46">
        <f>IF(L8&lt;&gt;0,IF(Y8=0,L8,AY8/P8*100),"")</f>
      </c>
      <c r="AU8" s="94">
        <f>AV8/Q8*100*-1</f>
        <v>-5.867948453608247</v>
      </c>
      <c r="AV8" s="94">
        <f aca="true" t="shared" si="12" ref="AV8:AV38">IF(T8&lt;&gt;0,AY8/P8*100,"")</f>
        <v>5.69191</v>
      </c>
      <c r="AY8" s="94">
        <f aca="true" t="shared" si="13" ref="AY8:AY37">SUM(W8,Y8:AF8)</f>
        <v>2.5044404</v>
      </c>
    </row>
    <row r="9" spans="1:51" ht="12.75">
      <c r="A9" s="29"/>
      <c r="B9" s="30"/>
      <c r="C9" s="30"/>
      <c r="D9" s="31"/>
      <c r="E9" s="31"/>
      <c r="F9" s="31"/>
      <c r="G9" s="31"/>
      <c r="H9" s="31"/>
      <c r="I9" s="31"/>
      <c r="J9" s="31"/>
      <c r="K9" s="31"/>
      <c r="L9" s="32"/>
      <c r="M9" s="33" t="s">
        <v>35</v>
      </c>
      <c r="N9" s="34"/>
      <c r="O9" s="35"/>
      <c r="P9" s="36">
        <v>90</v>
      </c>
      <c r="Q9" s="35">
        <v>97</v>
      </c>
      <c r="R9" s="43"/>
      <c r="S9" s="38">
        <f>T9/Q9*100*-1</f>
        <v>-1.4759536082474227</v>
      </c>
      <c r="T9" s="39">
        <f>W9/P9*100</f>
        <v>1.431675</v>
      </c>
      <c r="U9" s="40"/>
      <c r="V9" s="39"/>
      <c r="W9" s="40">
        <f>W$2*$P9/100</f>
        <v>1.2885075000000001</v>
      </c>
      <c r="X9" s="42"/>
      <c r="Y9" s="42"/>
      <c r="Z9" s="42"/>
      <c r="AA9" s="42"/>
      <c r="AB9" s="42"/>
      <c r="AC9" s="42"/>
      <c r="AD9" s="41"/>
      <c r="AE9" s="41"/>
      <c r="AF9" s="39"/>
      <c r="AI9">
        <f t="shared" si="1"/>
      </c>
      <c r="AJ9">
        <f t="shared" si="2"/>
      </c>
      <c r="AK9">
        <f t="shared" si="3"/>
      </c>
      <c r="AL9">
        <f t="shared" si="4"/>
      </c>
      <c r="AM9">
        <f t="shared" si="5"/>
      </c>
      <c r="AN9">
        <f t="shared" si="6"/>
      </c>
      <c r="AO9">
        <f t="shared" si="7"/>
      </c>
      <c r="AP9">
        <f t="shared" si="8"/>
      </c>
      <c r="AQ9">
        <f t="shared" si="9"/>
      </c>
      <c r="AR9">
        <f t="shared" si="10"/>
      </c>
      <c r="AS9">
        <f t="shared" si="11"/>
      </c>
      <c r="AT9" s="46">
        <f>IF(L9&lt;&gt;0,IF(Y9=0,L9,AY9/P9*100),"")</f>
      </c>
      <c r="AU9" s="94">
        <f>AV9/Q9*100*-1</f>
        <v>-1.4759536082474227</v>
      </c>
      <c r="AV9" s="94">
        <f t="shared" si="12"/>
        <v>1.431675</v>
      </c>
      <c r="AY9" s="94">
        <f t="shared" si="13"/>
        <v>1.2885075000000001</v>
      </c>
    </row>
    <row r="10" spans="1:51" ht="12.75">
      <c r="A10" s="29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2"/>
      <c r="M10" s="33" t="s">
        <v>36</v>
      </c>
      <c r="N10" s="34"/>
      <c r="O10" s="35"/>
      <c r="P10" s="36">
        <v>100</v>
      </c>
      <c r="Q10" s="35">
        <v>97</v>
      </c>
      <c r="R10" s="43"/>
      <c r="S10" s="38">
        <f>T10/Q10*100*-1</f>
        <v>-6.958067010309279</v>
      </c>
      <c r="T10" s="39">
        <f>X10/P10*100</f>
        <v>6.749325000000002</v>
      </c>
      <c r="U10" s="40"/>
      <c r="V10" s="41"/>
      <c r="W10" s="38"/>
      <c r="X10" s="40">
        <f>X$2*$P10/100</f>
        <v>6.749325000000002</v>
      </c>
      <c r="Y10" s="42">
        <f>X10*$Y$40</f>
        <v>6.820112153781215</v>
      </c>
      <c r="Z10" s="42"/>
      <c r="AA10" s="42"/>
      <c r="AB10" s="42"/>
      <c r="AC10" s="42"/>
      <c r="AD10" s="41"/>
      <c r="AE10" s="41"/>
      <c r="AF10" s="39"/>
      <c r="AI10">
        <f t="shared" si="1"/>
      </c>
      <c r="AJ10">
        <f t="shared" si="2"/>
      </c>
      <c r="AK10">
        <f t="shared" si="3"/>
      </c>
      <c r="AL10">
        <f t="shared" si="4"/>
      </c>
      <c r="AM10">
        <f t="shared" si="5"/>
      </c>
      <c r="AN10">
        <f t="shared" si="6"/>
      </c>
      <c r="AO10">
        <f t="shared" si="7"/>
      </c>
      <c r="AP10">
        <f t="shared" si="8"/>
      </c>
      <c r="AQ10">
        <f t="shared" si="9"/>
      </c>
      <c r="AR10">
        <f t="shared" si="10"/>
      </c>
      <c r="AS10">
        <f t="shared" si="11"/>
      </c>
      <c r="AT10" s="46">
        <f>IF(L10&lt;&gt;0,IF(Y10=0,L10,AY10/P10*100),"")</f>
      </c>
      <c r="AU10" s="94">
        <f>AV10/Q10*100*-1</f>
        <v>-7.031043457506408</v>
      </c>
      <c r="AV10" s="94">
        <f t="shared" si="12"/>
        <v>6.820112153781216</v>
      </c>
      <c r="AY10" s="94">
        <f t="shared" si="13"/>
        <v>6.820112153781215</v>
      </c>
    </row>
    <row r="11" spans="1:51" ht="12.75">
      <c r="A11" s="29"/>
      <c r="B11" s="30"/>
      <c r="C11" s="30"/>
      <c r="D11" s="31"/>
      <c r="E11" s="31"/>
      <c r="F11" s="31"/>
      <c r="G11" s="31"/>
      <c r="H11" s="31"/>
      <c r="I11" s="31">
        <f>92*2*0.0036</f>
        <v>0.6624</v>
      </c>
      <c r="J11" s="31"/>
      <c r="K11" s="31"/>
      <c r="L11" s="32">
        <f>SUM(A11:K11)</f>
        <v>0.6624</v>
      </c>
      <c r="M11" s="33" t="s">
        <v>37</v>
      </c>
      <c r="N11" s="34"/>
      <c r="O11" s="35"/>
      <c r="P11" s="36">
        <v>100</v>
      </c>
      <c r="Q11" s="35"/>
      <c r="R11" s="37"/>
      <c r="S11" s="38"/>
      <c r="T11" s="39"/>
      <c r="U11" s="40"/>
      <c r="V11" s="41"/>
      <c r="W11" s="38">
        <f>L11*P11/100*0.8</f>
        <v>0.5299200000000001</v>
      </c>
      <c r="X11" s="42">
        <f>L11*P11/100*0.2</f>
        <v>0.13248000000000001</v>
      </c>
      <c r="Y11" s="42">
        <f>X11*$Y$40</f>
        <v>0.13386945481702767</v>
      </c>
      <c r="Z11" s="42"/>
      <c r="AA11" s="42"/>
      <c r="AB11" s="42"/>
      <c r="AC11" s="42"/>
      <c r="AD11" s="41"/>
      <c r="AE11" s="41"/>
      <c r="AF11" s="39"/>
      <c r="AI11">
        <f t="shared" si="1"/>
      </c>
      <c r="AJ11">
        <f t="shared" si="2"/>
      </c>
      <c r="AK11">
        <f t="shared" si="3"/>
      </c>
      <c r="AL11">
        <f t="shared" si="4"/>
      </c>
      <c r="AM11">
        <f t="shared" si="5"/>
      </c>
      <c r="AN11">
        <f t="shared" si="6"/>
      </c>
      <c r="AO11">
        <f t="shared" si="7"/>
      </c>
      <c r="AP11">
        <f t="shared" si="8"/>
      </c>
      <c r="AQ11">
        <f t="shared" si="9"/>
        <v>0.6637894548170278</v>
      </c>
      <c r="AR11">
        <f t="shared" si="10"/>
      </c>
      <c r="AS11">
        <f t="shared" si="11"/>
      </c>
      <c r="AT11" s="46">
        <f>IF(L11&lt;&gt;0,IF(Y11=0,L11,AY11/P11*100),"")</f>
        <v>0.6637894548170278</v>
      </c>
      <c r="AV11" s="94">
        <f t="shared" si="12"/>
      </c>
      <c r="AY11" s="94">
        <f t="shared" si="13"/>
        <v>0.6637894548170278</v>
      </c>
    </row>
    <row r="12" spans="1:51" ht="12.75">
      <c r="A12" s="29"/>
      <c r="B12" s="30"/>
      <c r="C12" s="30"/>
      <c r="D12" s="31"/>
      <c r="E12" s="31"/>
      <c r="F12" s="31"/>
      <c r="G12" s="31"/>
      <c r="H12" s="31"/>
      <c r="I12" s="31"/>
      <c r="J12" s="31">
        <f>27103.485*0.0036</f>
        <v>97.572546</v>
      </c>
      <c r="K12" s="31"/>
      <c r="L12" s="32">
        <f>SUM(A12:K12)</f>
        <v>97.572546</v>
      </c>
      <c r="M12" s="33" t="s">
        <v>38</v>
      </c>
      <c r="N12" s="34">
        <v>100</v>
      </c>
      <c r="O12" s="35"/>
      <c r="P12" s="36"/>
      <c r="Q12" s="35"/>
      <c r="R12" s="37"/>
      <c r="S12" s="38">
        <f>L12*N12/100</f>
        <v>97.572546</v>
      </c>
      <c r="T12" s="39"/>
      <c r="U12" s="40"/>
      <c r="V12" s="41"/>
      <c r="W12" s="38"/>
      <c r="X12" s="42"/>
      <c r="Y12" s="42"/>
      <c r="Z12" s="42"/>
      <c r="AA12" s="42"/>
      <c r="AB12" s="42"/>
      <c r="AC12" s="42"/>
      <c r="AD12" s="41"/>
      <c r="AE12" s="41"/>
      <c r="AF12" s="39"/>
      <c r="AI12">
        <f t="shared" si="1"/>
      </c>
      <c r="AJ12">
        <f t="shared" si="2"/>
      </c>
      <c r="AK12">
        <f t="shared" si="3"/>
      </c>
      <c r="AL12">
        <f t="shared" si="4"/>
      </c>
      <c r="AM12">
        <f t="shared" si="5"/>
      </c>
      <c r="AN12">
        <f t="shared" si="6"/>
      </c>
      <c r="AO12">
        <f t="shared" si="7"/>
      </c>
      <c r="AP12">
        <f t="shared" si="8"/>
      </c>
      <c r="AQ12">
        <f t="shared" si="9"/>
      </c>
      <c r="AR12">
        <f t="shared" si="10"/>
        <v>97.572546</v>
      </c>
      <c r="AS12">
        <f t="shared" si="11"/>
      </c>
      <c r="AT12" s="46">
        <f aca="true" t="shared" si="14" ref="AT12:AT17">IF(L12&lt;&gt;0,IF(Y12=0,L12,AY12/P12*100),"")</f>
        <v>97.572546</v>
      </c>
      <c r="AU12">
        <f>AT12*N12/100</f>
        <v>97.572546</v>
      </c>
      <c r="AV12" s="94">
        <f t="shared" si="12"/>
      </c>
      <c r="AY12" s="94">
        <f t="shared" si="13"/>
        <v>0</v>
      </c>
    </row>
    <row r="13" spans="1:51" ht="12.75">
      <c r="A13" s="29">
        <f>S13/N13*100</f>
        <v>3.5738457525773266</v>
      </c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2">
        <f>SUM(A13:K13)</f>
        <v>3.5738457525773266</v>
      </c>
      <c r="M13" s="33" t="s">
        <v>39</v>
      </c>
      <c r="N13" s="34">
        <v>100</v>
      </c>
      <c r="O13" s="35"/>
      <c r="P13" s="36"/>
      <c r="Q13" s="35"/>
      <c r="R13" s="37"/>
      <c r="S13" s="38">
        <f>-SUM(S7:S12,S14:S38)</f>
        <v>3.5738457525773266</v>
      </c>
      <c r="T13" s="39"/>
      <c r="U13" s="40"/>
      <c r="V13" s="41"/>
      <c r="W13" s="38"/>
      <c r="X13" s="42"/>
      <c r="Y13" s="42"/>
      <c r="Z13" s="42"/>
      <c r="AA13" s="42"/>
      <c r="AB13" s="42"/>
      <c r="AC13" s="42"/>
      <c r="AD13" s="41"/>
      <c r="AE13" s="41"/>
      <c r="AF13" s="39"/>
      <c r="AI13">
        <f t="shared" si="1"/>
        <v>3.6500424048151716</v>
      </c>
      <c r="AJ13">
        <f t="shared" si="2"/>
      </c>
      <c r="AK13">
        <f t="shared" si="3"/>
      </c>
      <c r="AL13">
        <f t="shared" si="4"/>
      </c>
      <c r="AM13">
        <f t="shared" si="5"/>
      </c>
      <c r="AN13">
        <f t="shared" si="6"/>
      </c>
      <c r="AO13">
        <f t="shared" si="7"/>
      </c>
      <c r="AP13">
        <f t="shared" si="8"/>
      </c>
      <c r="AQ13">
        <f t="shared" si="9"/>
      </c>
      <c r="AR13">
        <f t="shared" si="10"/>
      </c>
      <c r="AS13">
        <f t="shared" si="11"/>
      </c>
      <c r="AT13" s="46">
        <f>AU13/N13*100</f>
        <v>3.6500424048151716</v>
      </c>
      <c r="AU13" s="96">
        <f>-SUM(AU7:AU12,AU14:AU38)</f>
        <v>3.6500424048151716</v>
      </c>
      <c r="AV13" s="94">
        <f t="shared" si="12"/>
      </c>
      <c r="AY13" s="94">
        <f t="shared" si="13"/>
        <v>0</v>
      </c>
    </row>
    <row r="14" spans="1:51" ht="12.75">
      <c r="A14" s="29"/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2">
        <f>SUM(A14:K14)</f>
        <v>0</v>
      </c>
      <c r="M14" s="33" t="s">
        <v>40</v>
      </c>
      <c r="N14" s="34">
        <v>100</v>
      </c>
      <c r="O14" s="35"/>
      <c r="P14" s="36"/>
      <c r="Q14" s="35"/>
      <c r="R14" s="37"/>
      <c r="S14" s="38"/>
      <c r="T14" s="39"/>
      <c r="U14" s="40"/>
      <c r="V14" s="41"/>
      <c r="W14" s="38"/>
      <c r="X14" s="42"/>
      <c r="Y14" s="42"/>
      <c r="Z14" s="42"/>
      <c r="AA14" s="42"/>
      <c r="AB14" s="42"/>
      <c r="AC14" s="42"/>
      <c r="AD14" s="42"/>
      <c r="AE14" s="42"/>
      <c r="AF14" s="39"/>
      <c r="AI14">
        <f t="shared" si="1"/>
      </c>
      <c r="AJ14">
        <f t="shared" si="2"/>
      </c>
      <c r="AK14">
        <f t="shared" si="3"/>
      </c>
      <c r="AL14">
        <f t="shared" si="4"/>
      </c>
      <c r="AM14">
        <f t="shared" si="5"/>
      </c>
      <c r="AN14">
        <f t="shared" si="6"/>
      </c>
      <c r="AO14">
        <f t="shared" si="7"/>
      </c>
      <c r="AP14">
        <f t="shared" si="8"/>
      </c>
      <c r="AQ14">
        <f t="shared" si="9"/>
      </c>
      <c r="AR14">
        <f t="shared" si="10"/>
      </c>
      <c r="AS14">
        <f t="shared" si="11"/>
      </c>
      <c r="AT14" s="46">
        <f t="shared" si="14"/>
      </c>
      <c r="AV14" s="94">
        <f t="shared" si="12"/>
      </c>
      <c r="AY14" s="94">
        <f t="shared" si="13"/>
        <v>0</v>
      </c>
    </row>
    <row r="15" spans="1:51" ht="12.75">
      <c r="A15" s="29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2"/>
      <c r="M15" s="33" t="s">
        <v>41</v>
      </c>
      <c r="N15" s="34"/>
      <c r="O15" s="35">
        <v>50</v>
      </c>
      <c r="P15" s="36"/>
      <c r="Q15" s="35">
        <v>97</v>
      </c>
      <c r="R15" s="5"/>
      <c r="S15" s="38">
        <f>T15/Q15*100*-1</f>
        <v>-16.394597938144333</v>
      </c>
      <c r="T15" s="39">
        <f>SUM(W15:AF15)/O15*100</f>
        <v>15.902760000000002</v>
      </c>
      <c r="U15" s="40"/>
      <c r="V15" s="41"/>
      <c r="W15" s="38"/>
      <c r="X15" s="42"/>
      <c r="Y15" s="42"/>
      <c r="Z15" s="42">
        <f>Z$2*15.5%*$O15/100</f>
        <v>2.2696650000000003</v>
      </c>
      <c r="AA15" s="42">
        <f>AA$2*15.5%*$O15/100</f>
        <v>0.57629</v>
      </c>
      <c r="AB15" s="42">
        <f>AB$2*15%*$O15%</f>
        <v>1.397775</v>
      </c>
      <c r="AC15" s="42">
        <f>AC$2*6%*$O15%</f>
        <v>0.21837</v>
      </c>
      <c r="AD15" s="42">
        <f>AD$2*25%*$O15%</f>
        <v>1.83175</v>
      </c>
      <c r="AE15" s="42">
        <f>AE$2*27%*$O15%</f>
        <v>1.6575300000000002</v>
      </c>
      <c r="AF15" s="39"/>
      <c r="AI15">
        <f t="shared" si="1"/>
      </c>
      <c r="AJ15">
        <f t="shared" si="2"/>
      </c>
      <c r="AK15">
        <f t="shared" si="3"/>
      </c>
      <c r="AL15">
        <f t="shared" si="4"/>
      </c>
      <c r="AM15">
        <f t="shared" si="5"/>
      </c>
      <c r="AN15">
        <f t="shared" si="6"/>
      </c>
      <c r="AO15">
        <f t="shared" si="7"/>
      </c>
      <c r="AP15">
        <f t="shared" si="8"/>
      </c>
      <c r="AQ15">
        <f t="shared" si="9"/>
      </c>
      <c r="AR15">
        <f t="shared" si="10"/>
      </c>
      <c r="AS15">
        <f t="shared" si="11"/>
      </c>
      <c r="AT15" s="46">
        <f t="shared" si="14"/>
      </c>
      <c r="AU15" s="94">
        <f>AV15/Q15*100*-1</f>
        <v>-16.394597938144333</v>
      </c>
      <c r="AV15" s="94">
        <f>IF(T15&lt;&gt;0,AY15/O15*100,"")</f>
        <v>15.902760000000002</v>
      </c>
      <c r="AY15" s="94">
        <f t="shared" si="13"/>
        <v>7.951380000000001</v>
      </c>
    </row>
    <row r="16" spans="1:51" ht="12.75">
      <c r="A16" s="29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2"/>
      <c r="M16" s="33" t="s">
        <v>42</v>
      </c>
      <c r="N16" s="34"/>
      <c r="O16" s="35">
        <v>150</v>
      </c>
      <c r="P16" s="36"/>
      <c r="Q16" s="35">
        <v>97</v>
      </c>
      <c r="R16" s="43"/>
      <c r="S16" s="38">
        <f>T16/Q16*100*-1</f>
        <v>-12.334717525773197</v>
      </c>
      <c r="T16" s="39">
        <f>SUM(W16:AF16)/O16*100</f>
        <v>11.964676000000003</v>
      </c>
      <c r="U16" s="40"/>
      <c r="V16" s="41"/>
      <c r="W16" s="38"/>
      <c r="X16" s="42"/>
      <c r="Y16" s="42"/>
      <c r="Z16" s="42">
        <f>Z$2*18.3%*$O16/100</f>
        <v>8.039007000000002</v>
      </c>
      <c r="AA16" s="42">
        <f>AA$2*18.3%*$O16/100</f>
        <v>2.0411819999999996</v>
      </c>
      <c r="AB16" s="42">
        <f>AB$2*3%*$O16%</f>
        <v>0.838665</v>
      </c>
      <c r="AC16" s="42">
        <f>AC$2*8%*$O16%</f>
        <v>0.87348</v>
      </c>
      <c r="AD16" s="42">
        <f>AD$2*28%*$O16%</f>
        <v>6.154680000000001</v>
      </c>
      <c r="AE16" s="42">
        <f>AE$2*0%*$O16%</f>
        <v>0</v>
      </c>
      <c r="AF16" s="39"/>
      <c r="AI16">
        <f t="shared" si="1"/>
      </c>
      <c r="AJ16">
        <f t="shared" si="2"/>
      </c>
      <c r="AK16">
        <f t="shared" si="3"/>
      </c>
      <c r="AL16">
        <f t="shared" si="4"/>
      </c>
      <c r="AM16">
        <f t="shared" si="5"/>
      </c>
      <c r="AN16">
        <f t="shared" si="6"/>
      </c>
      <c r="AO16">
        <f t="shared" si="7"/>
      </c>
      <c r="AP16">
        <f t="shared" si="8"/>
      </c>
      <c r="AQ16">
        <f t="shared" si="9"/>
      </c>
      <c r="AR16">
        <f t="shared" si="10"/>
      </c>
      <c r="AS16">
        <f t="shared" si="11"/>
      </c>
      <c r="AT16" s="46">
        <f t="shared" si="14"/>
      </c>
      <c r="AU16" s="94">
        <f>AV16/Q16*100*-1</f>
        <v>-12.334717525773197</v>
      </c>
      <c r="AV16" s="94">
        <f>IF(T16&lt;&gt;0,AY16/O16*100,"")</f>
        <v>11.964676000000003</v>
      </c>
      <c r="AY16" s="94">
        <f t="shared" si="13"/>
        <v>17.947014000000003</v>
      </c>
    </row>
    <row r="17" spans="1:51" ht="12.75">
      <c r="A17" s="29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2"/>
      <c r="M17" s="33" t="s">
        <v>43</v>
      </c>
      <c r="N17" s="34"/>
      <c r="O17" s="35">
        <v>85</v>
      </c>
      <c r="P17" s="36"/>
      <c r="Q17" s="35">
        <v>97</v>
      </c>
      <c r="S17" s="38">
        <f>T17/Q17*100*-1</f>
        <v>-57.74294226804124</v>
      </c>
      <c r="T17" s="39">
        <f>SUM(W17:AF17)/O17*100</f>
        <v>56.010654</v>
      </c>
      <c r="U17" s="40"/>
      <c r="V17" s="41"/>
      <c r="W17" s="38"/>
      <c r="X17" s="42"/>
      <c r="Y17" s="42"/>
      <c r="Z17" s="42">
        <f>Z$2*50.7%*$O17%</f>
        <v>12.620801700000001</v>
      </c>
      <c r="AA17" s="42">
        <f>AA$2*50.7%*$O17%</f>
        <v>3.2045442</v>
      </c>
      <c r="AB17" s="42">
        <f>AB$2*82%*$O17%</f>
        <v>12.989989</v>
      </c>
      <c r="AC17" s="42">
        <f>AC$2*86%*$O17%</f>
        <v>5.320949</v>
      </c>
      <c r="AD17" s="42">
        <f>AD$2*47%*$O17%</f>
        <v>5.854272999999999</v>
      </c>
      <c r="AE17" s="42">
        <f>AE$2*73%*$O17%</f>
        <v>7.618499</v>
      </c>
      <c r="AF17" s="39"/>
      <c r="AI17">
        <f t="shared" si="1"/>
      </c>
      <c r="AJ17">
        <f t="shared" si="2"/>
      </c>
      <c r="AK17">
        <f t="shared" si="3"/>
      </c>
      <c r="AL17">
        <f t="shared" si="4"/>
      </c>
      <c r="AM17">
        <f t="shared" si="5"/>
      </c>
      <c r="AN17">
        <f t="shared" si="6"/>
      </c>
      <c r="AO17">
        <f t="shared" si="7"/>
      </c>
      <c r="AP17">
        <f t="shared" si="8"/>
      </c>
      <c r="AQ17">
        <f t="shared" si="9"/>
      </c>
      <c r="AR17">
        <f t="shared" si="10"/>
      </c>
      <c r="AS17">
        <f t="shared" si="11"/>
      </c>
      <c r="AT17" s="46">
        <f t="shared" si="14"/>
      </c>
      <c r="AU17" s="94">
        <f>AV17/Q17*100*-1</f>
        <v>-57.74294226804124</v>
      </c>
      <c r="AV17" s="94">
        <f>IF(T17&lt;&gt;0,AY17/O17*100,"")</f>
        <v>56.010654</v>
      </c>
      <c r="AY17" s="94">
        <f t="shared" si="13"/>
        <v>47.6090559</v>
      </c>
    </row>
    <row r="18" spans="1:51" ht="12.75">
      <c r="A18" s="29"/>
      <c r="B18" s="30"/>
      <c r="C18" s="30"/>
      <c r="D18" s="31"/>
      <c r="E18" s="31"/>
      <c r="F18" s="31"/>
      <c r="G18" s="31">
        <f>12.47+2.16</f>
        <v>14.63</v>
      </c>
      <c r="H18" s="31"/>
      <c r="I18" s="31"/>
      <c r="J18" s="31"/>
      <c r="K18" s="31"/>
      <c r="L18" s="32">
        <f>SUM(A18:K18)</f>
        <v>14.63</v>
      </c>
      <c r="M18" s="33" t="s">
        <v>44</v>
      </c>
      <c r="N18" s="34"/>
      <c r="O18" s="35"/>
      <c r="P18" s="36">
        <v>70</v>
      </c>
      <c r="Q18" s="35"/>
      <c r="R18" s="37"/>
      <c r="S18" s="38"/>
      <c r="T18" s="39"/>
      <c r="U18" s="40"/>
      <c r="V18" s="41"/>
      <c r="W18" s="38">
        <f>L18*P18/100*0.175</f>
        <v>1.792175</v>
      </c>
      <c r="X18" s="42">
        <f>L18*P18/100*0.825</f>
        <v>8.448825000000001</v>
      </c>
      <c r="Y18" s="42">
        <f>X18*$Y$40</f>
        <v>8.537436568496934</v>
      </c>
      <c r="Z18" s="42"/>
      <c r="AA18" s="42"/>
      <c r="AB18" s="42"/>
      <c r="AC18" s="42"/>
      <c r="AD18" s="41"/>
      <c r="AE18" s="41"/>
      <c r="AF18" s="39"/>
      <c r="AI18">
        <f t="shared" si="1"/>
      </c>
      <c r="AJ18">
        <f t="shared" si="2"/>
      </c>
      <c r="AK18">
        <f t="shared" si="3"/>
      </c>
      <c r="AL18">
        <f t="shared" si="4"/>
      </c>
      <c r="AM18">
        <f t="shared" si="5"/>
      </c>
      <c r="AN18">
        <f t="shared" si="6"/>
      </c>
      <c r="AO18">
        <f t="shared" si="7"/>
        <v>14.75658795499562</v>
      </c>
      <c r="AP18">
        <f t="shared" si="8"/>
      </c>
      <c r="AQ18">
        <f t="shared" si="9"/>
      </c>
      <c r="AR18">
        <f t="shared" si="10"/>
      </c>
      <c r="AS18">
        <f t="shared" si="11"/>
      </c>
      <c r="AT18" s="46">
        <f>IF(L18&lt;&gt;0,IF(Y18=0,L18,AY18/P18*100),"")</f>
        <v>14.75658795499562</v>
      </c>
      <c r="AV18" s="94">
        <f t="shared" si="12"/>
      </c>
      <c r="AY18" s="94">
        <f t="shared" si="13"/>
        <v>10.329611568496935</v>
      </c>
    </row>
    <row r="19" spans="1:51" ht="12.75">
      <c r="A19" s="29"/>
      <c r="B19" s="30"/>
      <c r="C19" s="30">
        <v>107.14</v>
      </c>
      <c r="D19" s="31"/>
      <c r="E19" s="31"/>
      <c r="F19" s="31"/>
      <c r="G19" s="31"/>
      <c r="H19" s="31"/>
      <c r="I19" s="31"/>
      <c r="J19" s="31"/>
      <c r="K19" s="31"/>
      <c r="L19" s="32">
        <f>SUM(A19:K19)</f>
        <v>107.14</v>
      </c>
      <c r="M19" s="33" t="s">
        <v>45</v>
      </c>
      <c r="N19" s="34"/>
      <c r="O19" s="35"/>
      <c r="P19" s="36">
        <v>70</v>
      </c>
      <c r="Q19" s="35"/>
      <c r="R19" s="37"/>
      <c r="S19" s="38"/>
      <c r="T19" s="39"/>
      <c r="U19" s="40"/>
      <c r="V19" s="41"/>
      <c r="W19" s="38">
        <f>L19*P19/100*0.175</f>
        <v>13.12465</v>
      </c>
      <c r="X19" s="42">
        <f>L19*P19/100*0.825</f>
        <v>61.87335</v>
      </c>
      <c r="Y19" s="42">
        <f>X19*$Y$40</f>
        <v>62.522279832451225</v>
      </c>
      <c r="Z19" s="42"/>
      <c r="AA19" s="42"/>
      <c r="AB19" s="42"/>
      <c r="AC19" s="42"/>
      <c r="AD19" s="41"/>
      <c r="AE19" s="41"/>
      <c r="AF19" s="39"/>
      <c r="AI19">
        <f t="shared" si="1"/>
      </c>
      <c r="AJ19">
        <f t="shared" si="2"/>
      </c>
      <c r="AK19">
        <f t="shared" si="3"/>
        <v>108.06704261778745</v>
      </c>
      <c r="AL19">
        <f t="shared" si="4"/>
      </c>
      <c r="AM19">
        <f t="shared" si="5"/>
      </c>
      <c r="AN19">
        <f t="shared" si="6"/>
      </c>
      <c r="AO19">
        <f t="shared" si="7"/>
      </c>
      <c r="AP19">
        <f t="shared" si="8"/>
      </c>
      <c r="AQ19">
        <f t="shared" si="9"/>
      </c>
      <c r="AR19">
        <f t="shared" si="10"/>
      </c>
      <c r="AS19">
        <f t="shared" si="11"/>
      </c>
      <c r="AT19" s="46">
        <f>IF(L19&lt;&gt;0,IF(Y19=0,L19,AY19/P19*100),"")</f>
        <v>108.06704261778745</v>
      </c>
      <c r="AV19" s="94">
        <f t="shared" si="12"/>
      </c>
      <c r="AY19" s="94">
        <f t="shared" si="13"/>
        <v>75.64692983245122</v>
      </c>
    </row>
    <row r="20" spans="1:51" ht="12.75">
      <c r="A20" s="29"/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33" t="s">
        <v>46</v>
      </c>
      <c r="N20" s="34"/>
      <c r="O20" s="35"/>
      <c r="P20" s="36">
        <v>250</v>
      </c>
      <c r="Q20" s="35">
        <v>97</v>
      </c>
      <c r="S20" s="38">
        <f>T20/Q20*100*-1</f>
        <v>-0.37216494845360826</v>
      </c>
      <c r="T20" s="39">
        <f>T2</f>
        <v>0.361</v>
      </c>
      <c r="U20" s="40"/>
      <c r="V20" s="39"/>
      <c r="W20" s="38">
        <f>T20*P20/100*0.175</f>
        <v>0.15793749999999998</v>
      </c>
      <c r="X20" s="42">
        <f>T20*P20/100*0.825</f>
        <v>0.7445624999999999</v>
      </c>
      <c r="Y20" s="42">
        <f>X20*$Y$40</f>
        <v>0.7523714972237556</v>
      </c>
      <c r="Z20" s="42"/>
      <c r="AA20" s="42"/>
      <c r="AB20" s="42"/>
      <c r="AC20" s="42"/>
      <c r="AD20" s="41"/>
      <c r="AE20" s="41"/>
      <c r="AF20" s="39"/>
      <c r="AI20">
        <f t="shared" si="1"/>
      </c>
      <c r="AJ20">
        <f t="shared" si="2"/>
      </c>
      <c r="AK20">
        <f t="shared" si="3"/>
      </c>
      <c r="AL20">
        <f t="shared" si="4"/>
      </c>
      <c r="AM20">
        <f t="shared" si="5"/>
      </c>
      <c r="AN20">
        <f t="shared" si="6"/>
      </c>
      <c r="AO20">
        <f t="shared" si="7"/>
      </c>
      <c r="AP20">
        <f t="shared" si="8"/>
      </c>
      <c r="AQ20">
        <f t="shared" si="9"/>
      </c>
      <c r="AR20">
        <f t="shared" si="10"/>
      </c>
      <c r="AS20">
        <f t="shared" si="11"/>
      </c>
      <c r="AT20" s="46">
        <f>IF(L20&lt;&gt;0,IF(Y20=0,L20,AY20/P20*100),"")</f>
      </c>
      <c r="AU20" s="94">
        <f>AV20/Q20*100*-1</f>
        <v>-0.3753851534943322</v>
      </c>
      <c r="AV20" s="94">
        <f t="shared" si="12"/>
        <v>0.36412359888950224</v>
      </c>
      <c r="AY20" s="94">
        <f t="shared" si="13"/>
        <v>0.9103089972237556</v>
      </c>
    </row>
    <row r="21" spans="1:51" ht="12.75">
      <c r="A21" s="29"/>
      <c r="B21" s="30"/>
      <c r="C21" s="30"/>
      <c r="D21" s="31"/>
      <c r="E21" s="31"/>
      <c r="F21" s="31">
        <f>5.5</f>
        <v>5.5</v>
      </c>
      <c r="G21" s="31"/>
      <c r="H21" s="31"/>
      <c r="I21" s="31"/>
      <c r="J21" s="31"/>
      <c r="K21" s="31"/>
      <c r="L21" s="32">
        <f>SUM(A21:K21)</f>
        <v>5.5</v>
      </c>
      <c r="M21" s="33" t="s">
        <v>47</v>
      </c>
      <c r="N21" s="34"/>
      <c r="O21" s="35"/>
      <c r="P21" s="36">
        <v>60</v>
      </c>
      <c r="Q21" s="35"/>
      <c r="R21" s="37"/>
      <c r="S21" s="38"/>
      <c r="T21" s="39"/>
      <c r="U21" s="40"/>
      <c r="V21" s="41"/>
      <c r="W21" s="38">
        <f>L21*P21/100*0.175</f>
        <v>0.5774999999999999</v>
      </c>
      <c r="X21" s="42">
        <f>L21*P21/100*0.825</f>
        <v>2.7224999999999997</v>
      </c>
      <c r="Y21" s="42">
        <f>X21*$Y$40</f>
        <v>2.7510536740591616</v>
      </c>
      <c r="Z21" s="42"/>
      <c r="AA21" s="42"/>
      <c r="AB21" s="42"/>
      <c r="AC21" s="42"/>
      <c r="AD21" s="41"/>
      <c r="AE21" s="41"/>
      <c r="AF21" s="39"/>
      <c r="AI21">
        <f t="shared" si="1"/>
      </c>
      <c r="AJ21">
        <f t="shared" si="2"/>
      </c>
      <c r="AK21">
        <f t="shared" si="3"/>
      </c>
      <c r="AL21">
        <f t="shared" si="4"/>
      </c>
      <c r="AM21">
        <f t="shared" si="5"/>
      </c>
      <c r="AN21">
        <f t="shared" si="6"/>
        <v>5.5475894567652695</v>
      </c>
      <c r="AO21">
        <f t="shared" si="7"/>
      </c>
      <c r="AP21">
        <f t="shared" si="8"/>
      </c>
      <c r="AQ21">
        <f t="shared" si="9"/>
      </c>
      <c r="AR21">
        <f t="shared" si="10"/>
      </c>
      <c r="AS21">
        <f t="shared" si="11"/>
      </c>
      <c r="AT21" s="46">
        <f>IF(L21&lt;&gt;0,IF(Y21=0,L21,AY21/P21*100),"")</f>
        <v>5.5475894567652695</v>
      </c>
      <c r="AV21" s="94">
        <f t="shared" si="12"/>
      </c>
      <c r="AY21" s="94">
        <f t="shared" si="13"/>
        <v>3.3285536740591617</v>
      </c>
    </row>
    <row r="22" spans="1:51" ht="12.75">
      <c r="A22" s="29"/>
      <c r="B22" s="30"/>
      <c r="C22" s="30"/>
      <c r="D22" s="31"/>
      <c r="E22" s="31"/>
      <c r="F22" s="31"/>
      <c r="G22" s="31"/>
      <c r="H22" s="31">
        <f>5.5</f>
        <v>5.5</v>
      </c>
      <c r="I22" s="31"/>
      <c r="J22" s="31"/>
      <c r="K22" s="31"/>
      <c r="L22" s="32">
        <f>SUM(A22:K22)</f>
        <v>5.5</v>
      </c>
      <c r="M22" s="33" t="s">
        <v>48</v>
      </c>
      <c r="N22" s="34"/>
      <c r="O22" s="35"/>
      <c r="P22" s="36">
        <v>60</v>
      </c>
      <c r="Q22" s="35"/>
      <c r="R22" s="37"/>
      <c r="S22" s="38"/>
      <c r="T22" s="39"/>
      <c r="U22" s="40"/>
      <c r="V22" s="41"/>
      <c r="W22" s="38">
        <f>L22*P22/100*0.175</f>
        <v>0.5774999999999999</v>
      </c>
      <c r="X22" s="42">
        <f>L22*P22/100*0.825</f>
        <v>2.7224999999999997</v>
      </c>
      <c r="Y22" s="42">
        <f>X22*$Y$40</f>
        <v>2.7510536740591616</v>
      </c>
      <c r="Z22" s="42"/>
      <c r="AA22" s="42"/>
      <c r="AB22" s="42"/>
      <c r="AC22" s="42"/>
      <c r="AD22" s="41"/>
      <c r="AE22" s="41"/>
      <c r="AF22" s="39"/>
      <c r="AI22">
        <f t="shared" si="1"/>
      </c>
      <c r="AJ22">
        <f t="shared" si="2"/>
      </c>
      <c r="AK22">
        <f t="shared" si="3"/>
      </c>
      <c r="AL22">
        <f t="shared" si="4"/>
      </c>
      <c r="AM22">
        <f t="shared" si="5"/>
      </c>
      <c r="AN22">
        <f t="shared" si="6"/>
      </c>
      <c r="AO22">
        <f t="shared" si="7"/>
      </c>
      <c r="AP22">
        <f t="shared" si="8"/>
        <v>5.5475894567652695</v>
      </c>
      <c r="AQ22">
        <f t="shared" si="9"/>
      </c>
      <c r="AR22">
        <f t="shared" si="10"/>
      </c>
      <c r="AS22">
        <f t="shared" si="11"/>
      </c>
      <c r="AT22" s="46">
        <f>IF(L22&lt;&gt;0,IF(Y22=0,L22,AY22/P22*100),"")</f>
        <v>5.5475894567652695</v>
      </c>
      <c r="AV22" s="94">
        <f t="shared" si="12"/>
      </c>
      <c r="AY22" s="94">
        <f t="shared" si="13"/>
        <v>3.3285536740591617</v>
      </c>
    </row>
    <row r="23" spans="1:51" ht="12.75">
      <c r="A23" s="44"/>
      <c r="B23" s="45"/>
      <c r="C23" s="46"/>
      <c r="D23" s="47"/>
      <c r="E23" s="47"/>
      <c r="F23" s="45">
        <f>11643*0.0036*0.98/0.84</f>
        <v>48.900600000000004</v>
      </c>
      <c r="G23" s="47"/>
      <c r="H23" s="47"/>
      <c r="I23" s="47"/>
      <c r="J23" s="47"/>
      <c r="K23" s="47"/>
      <c r="L23" s="32">
        <f>SUM(A23:K23)</f>
        <v>48.900600000000004</v>
      </c>
      <c r="M23" s="48" t="s">
        <v>49</v>
      </c>
      <c r="N23" s="49"/>
      <c r="O23" s="50"/>
      <c r="P23" s="51">
        <v>84</v>
      </c>
      <c r="Q23" s="50"/>
      <c r="R23" s="52"/>
      <c r="S23" s="53"/>
      <c r="T23" s="54"/>
      <c r="U23" s="55">
        <f>L23*P23/100</f>
        <v>41.07650400000001</v>
      </c>
      <c r="V23" s="56"/>
      <c r="W23" s="53"/>
      <c r="X23" s="57"/>
      <c r="Y23" s="57"/>
      <c r="Z23" s="57"/>
      <c r="AA23" s="57"/>
      <c r="AB23" s="57"/>
      <c r="AC23" s="57"/>
      <c r="AD23" s="56"/>
      <c r="AE23" s="56"/>
      <c r="AF23" s="54"/>
      <c r="AI23">
        <f t="shared" si="1"/>
      </c>
      <c r="AJ23">
        <f t="shared" si="2"/>
      </c>
      <c r="AK23">
        <f t="shared" si="3"/>
      </c>
      <c r="AL23">
        <f t="shared" si="4"/>
      </c>
      <c r="AM23">
        <f t="shared" si="5"/>
      </c>
      <c r="AN23">
        <f t="shared" si="6"/>
        <v>49.32371872536287</v>
      </c>
      <c r="AO23">
        <f t="shared" si="7"/>
      </c>
      <c r="AP23">
        <f t="shared" si="8"/>
      </c>
      <c r="AQ23">
        <f t="shared" si="9"/>
      </c>
      <c r="AR23">
        <f t="shared" si="10"/>
      </c>
      <c r="AS23">
        <f>IF(K23&lt;&gt;0,$AT23,"")</f>
      </c>
      <c r="AT23">
        <f>AW23/P23*100</f>
        <v>49.32371872536287</v>
      </c>
      <c r="AV23" s="94">
        <f t="shared" si="12"/>
      </c>
      <c r="AW23">
        <f>AW25-AW24</f>
        <v>41.43192372930481</v>
      </c>
      <c r="AY23" s="94">
        <f t="shared" si="13"/>
        <v>0</v>
      </c>
    </row>
    <row r="24" spans="1:51" ht="12.75">
      <c r="A24" s="44"/>
      <c r="B24" s="45"/>
      <c r="C24" s="45">
        <f>11643*0.02/0.95*0.0036</f>
        <v>0.8824168421052632</v>
      </c>
      <c r="D24" s="47"/>
      <c r="E24" s="47"/>
      <c r="F24" s="47"/>
      <c r="G24" s="47"/>
      <c r="H24" s="47"/>
      <c r="I24" s="47"/>
      <c r="J24" s="47"/>
      <c r="K24" s="47"/>
      <c r="L24" s="32">
        <f>SUM(A24:K24)</f>
        <v>0.8824168421052632</v>
      </c>
      <c r="M24" s="48" t="s">
        <v>50</v>
      </c>
      <c r="N24" s="49"/>
      <c r="O24" s="50"/>
      <c r="P24" s="51">
        <v>95</v>
      </c>
      <c r="Q24" s="50"/>
      <c r="R24" s="52"/>
      <c r="S24" s="53"/>
      <c r="T24" s="54"/>
      <c r="U24" s="55">
        <f>L24*P24/100</f>
        <v>0.838296</v>
      </c>
      <c r="V24" s="56"/>
      <c r="W24" s="53"/>
      <c r="X24" s="57"/>
      <c r="Y24" s="57"/>
      <c r="Z24" s="57"/>
      <c r="AA24" s="57"/>
      <c r="AB24" s="57"/>
      <c r="AC24" s="57"/>
      <c r="AD24" s="56"/>
      <c r="AE24" s="56"/>
      <c r="AF24" s="54"/>
      <c r="AI24">
        <f t="shared" si="1"/>
      </c>
      <c r="AJ24">
        <f t="shared" si="2"/>
      </c>
      <c r="AK24">
        <f t="shared" si="3"/>
        <v>0.8900520672245933</v>
      </c>
      <c r="AL24">
        <f t="shared" si="4"/>
      </c>
      <c r="AM24">
        <f t="shared" si="5"/>
      </c>
      <c r="AN24">
        <f t="shared" si="6"/>
      </c>
      <c r="AO24">
        <f t="shared" si="7"/>
      </c>
      <c r="AP24">
        <f t="shared" si="8"/>
      </c>
      <c r="AQ24">
        <f t="shared" si="9"/>
      </c>
      <c r="AR24">
        <f t="shared" si="10"/>
      </c>
      <c r="AS24">
        <f aca="true" t="shared" si="15" ref="AS24:AS38">IF(K24&lt;&gt;0,$AT24,"")</f>
      </c>
      <c r="AT24">
        <f>AW24/P24*100</f>
        <v>0.8900520672245933</v>
      </c>
      <c r="AV24" s="94">
        <f t="shared" si="12"/>
      </c>
      <c r="AW24">
        <f>AW25*0.02</f>
        <v>0.8455494638633636</v>
      </c>
      <c r="AY24" s="94">
        <f t="shared" si="13"/>
        <v>0</v>
      </c>
    </row>
    <row r="25" spans="1:51" ht="12.75">
      <c r="A25" s="44"/>
      <c r="B25" s="45"/>
      <c r="C25" s="45"/>
      <c r="D25" s="47"/>
      <c r="E25" s="47"/>
      <c r="F25" s="47"/>
      <c r="G25" s="47"/>
      <c r="H25" s="47"/>
      <c r="I25" s="47"/>
      <c r="J25" s="47"/>
      <c r="K25" s="47"/>
      <c r="L25" s="32"/>
      <c r="M25" s="48" t="s">
        <v>51</v>
      </c>
      <c r="N25" s="49"/>
      <c r="O25" s="50"/>
      <c r="P25" s="51"/>
      <c r="Q25" s="35"/>
      <c r="R25" s="50">
        <v>80</v>
      </c>
      <c r="S25" s="53"/>
      <c r="T25" s="54"/>
      <c r="U25" s="55">
        <f>-V25/(R25/100)</f>
        <v>-41.91480000000001</v>
      </c>
      <c r="V25" s="56">
        <f>SUM(U23:U24)*R25/100</f>
        <v>33.53184000000001</v>
      </c>
      <c r="W25" s="53">
        <f>V25*0.175</f>
        <v>5.8680720000000015</v>
      </c>
      <c r="X25" s="57">
        <f>V25-W25</f>
        <v>27.663768000000008</v>
      </c>
      <c r="Y25" s="42">
        <f>X25*$Y$40</f>
        <v>27.953906554534544</v>
      </c>
      <c r="Z25" s="57"/>
      <c r="AA25" s="57"/>
      <c r="AB25" s="57"/>
      <c r="AC25" s="57"/>
      <c r="AD25" s="56"/>
      <c r="AE25" s="56"/>
      <c r="AF25" s="54"/>
      <c r="AI25">
        <f t="shared" si="1"/>
      </c>
      <c r="AJ25">
        <f t="shared" si="2"/>
      </c>
      <c r="AK25">
        <f t="shared" si="3"/>
      </c>
      <c r="AL25">
        <f t="shared" si="4"/>
      </c>
      <c r="AM25">
        <f t="shared" si="5"/>
      </c>
      <c r="AN25">
        <f t="shared" si="6"/>
      </c>
      <c r="AO25">
        <f t="shared" si="7"/>
      </c>
      <c r="AP25">
        <f t="shared" si="8"/>
      </c>
      <c r="AQ25">
        <f t="shared" si="9"/>
      </c>
      <c r="AR25">
        <f t="shared" si="10"/>
      </c>
      <c r="AS25">
        <f t="shared" si="15"/>
      </c>
      <c r="AV25" s="94">
        <f t="shared" si="12"/>
      </c>
      <c r="AW25">
        <f>AX25/R25*100</f>
        <v>42.27747319316818</v>
      </c>
      <c r="AX25" s="46">
        <f>AY25</f>
        <v>33.821978554534546</v>
      </c>
      <c r="AY25" s="94">
        <f t="shared" si="13"/>
        <v>33.821978554534546</v>
      </c>
    </row>
    <row r="26" spans="1:51" ht="12.75">
      <c r="A26" s="44"/>
      <c r="B26" s="45"/>
      <c r="C26" s="45"/>
      <c r="D26" s="47"/>
      <c r="E26" s="47"/>
      <c r="F26" s="47"/>
      <c r="G26" s="47"/>
      <c r="H26" s="47"/>
      <c r="I26" s="47"/>
      <c r="J26" s="47"/>
      <c r="K26" s="47"/>
      <c r="L26" s="32">
        <f>SUM(A26:K26)</f>
        <v>0</v>
      </c>
      <c r="M26" s="48" t="s">
        <v>52</v>
      </c>
      <c r="N26" s="49"/>
      <c r="O26" s="50"/>
      <c r="P26" s="51">
        <v>100</v>
      </c>
      <c r="Q26" s="50"/>
      <c r="R26" s="52"/>
      <c r="S26" s="53"/>
      <c r="T26" s="54"/>
      <c r="U26" s="55">
        <f>L26*P26/100</f>
        <v>0</v>
      </c>
      <c r="V26" s="56"/>
      <c r="W26" s="53"/>
      <c r="X26" s="57"/>
      <c r="Y26" s="57"/>
      <c r="Z26" s="57"/>
      <c r="AA26" s="57"/>
      <c r="AB26" s="57"/>
      <c r="AC26" s="57"/>
      <c r="AD26" s="56"/>
      <c r="AE26" s="56"/>
      <c r="AF26" s="54"/>
      <c r="AI26">
        <f t="shared" si="1"/>
      </c>
      <c r="AJ26">
        <f t="shared" si="2"/>
      </c>
      <c r="AK26">
        <f t="shared" si="3"/>
      </c>
      <c r="AL26">
        <f t="shared" si="4"/>
      </c>
      <c r="AM26">
        <f t="shared" si="5"/>
      </c>
      <c r="AN26">
        <f t="shared" si="6"/>
      </c>
      <c r="AO26">
        <f t="shared" si="7"/>
      </c>
      <c r="AP26">
        <f t="shared" si="8"/>
      </c>
      <c r="AQ26">
        <f t="shared" si="9"/>
      </c>
      <c r="AR26">
        <f t="shared" si="10"/>
      </c>
      <c r="AS26">
        <f t="shared" si="15"/>
      </c>
      <c r="AT26" s="46">
        <f aca="true" t="shared" si="16" ref="AT26:AT32">IF(L26&lt;&gt;0,IF(Y26=0,L26,AY26/P26*100),"")</f>
      </c>
      <c r="AV26" s="94">
        <f t="shared" si="12"/>
      </c>
      <c r="AY26" s="94">
        <f t="shared" si="13"/>
        <v>0</v>
      </c>
    </row>
    <row r="27" spans="1:51" ht="12.75">
      <c r="A27" s="44"/>
      <c r="B27" s="45"/>
      <c r="C27" s="45"/>
      <c r="D27" s="47"/>
      <c r="E27" s="47"/>
      <c r="F27" s="47"/>
      <c r="G27" s="47"/>
      <c r="H27" s="47"/>
      <c r="I27" s="47"/>
      <c r="J27" s="47"/>
      <c r="K27" s="47"/>
      <c r="L27" s="32">
        <f>SUM(A27:K27)</f>
        <v>0</v>
      </c>
      <c r="M27" s="48" t="s">
        <v>53</v>
      </c>
      <c r="N27" s="49"/>
      <c r="O27" s="50"/>
      <c r="P27" s="51">
        <v>100</v>
      </c>
      <c r="Q27" s="50"/>
      <c r="R27" s="52"/>
      <c r="S27" s="53"/>
      <c r="T27" s="54"/>
      <c r="U27" s="55">
        <f>L27*P27/100</f>
        <v>0</v>
      </c>
      <c r="V27" s="56"/>
      <c r="W27" s="53"/>
      <c r="X27" s="57"/>
      <c r="Y27" s="57"/>
      <c r="Z27" s="57"/>
      <c r="AA27" s="57"/>
      <c r="AB27" s="57"/>
      <c r="AC27" s="57"/>
      <c r="AD27" s="56"/>
      <c r="AE27" s="56"/>
      <c r="AF27" s="54"/>
      <c r="AI27">
        <f t="shared" si="1"/>
      </c>
      <c r="AJ27">
        <f t="shared" si="2"/>
      </c>
      <c r="AK27">
        <f t="shared" si="3"/>
      </c>
      <c r="AL27">
        <f t="shared" si="4"/>
      </c>
      <c r="AM27">
        <f t="shared" si="5"/>
      </c>
      <c r="AN27">
        <f t="shared" si="6"/>
      </c>
      <c r="AO27">
        <f t="shared" si="7"/>
      </c>
      <c r="AP27">
        <f t="shared" si="8"/>
      </c>
      <c r="AQ27">
        <f t="shared" si="9"/>
      </c>
      <c r="AR27">
        <f t="shared" si="10"/>
      </c>
      <c r="AS27">
        <f t="shared" si="15"/>
      </c>
      <c r="AT27" s="46">
        <f t="shared" si="16"/>
      </c>
      <c r="AV27" s="94">
        <f t="shared" si="12"/>
      </c>
      <c r="AY27" s="94">
        <f t="shared" si="13"/>
        <v>0</v>
      </c>
    </row>
    <row r="28" spans="1:51" ht="12.75">
      <c r="A28" s="44"/>
      <c r="B28" s="45"/>
      <c r="C28" s="45"/>
      <c r="D28" s="47"/>
      <c r="E28" s="47"/>
      <c r="F28" s="47"/>
      <c r="G28" s="47"/>
      <c r="H28" s="47"/>
      <c r="I28" s="47"/>
      <c r="J28" s="47"/>
      <c r="K28" s="47"/>
      <c r="L28" s="32">
        <f>SUM(A28:K28)</f>
        <v>0</v>
      </c>
      <c r="M28" s="48" t="s">
        <v>54</v>
      </c>
      <c r="N28" s="49"/>
      <c r="O28" s="50"/>
      <c r="P28" s="51">
        <v>90</v>
      </c>
      <c r="Q28" s="50"/>
      <c r="R28" s="52"/>
      <c r="S28" s="53"/>
      <c r="T28" s="54"/>
      <c r="U28" s="55">
        <f>L28*P28/100</f>
        <v>0</v>
      </c>
      <c r="V28" s="56"/>
      <c r="W28" s="53"/>
      <c r="X28" s="57"/>
      <c r="Y28" s="57"/>
      <c r="Z28" s="57"/>
      <c r="AA28" s="57"/>
      <c r="AB28" s="57"/>
      <c r="AC28" s="57"/>
      <c r="AD28" s="56"/>
      <c r="AE28" s="56"/>
      <c r="AF28" s="54"/>
      <c r="AI28">
        <f t="shared" si="1"/>
      </c>
      <c r="AJ28">
        <f t="shared" si="2"/>
      </c>
      <c r="AK28">
        <f t="shared" si="3"/>
      </c>
      <c r="AL28">
        <f t="shared" si="4"/>
      </c>
      <c r="AM28">
        <f t="shared" si="5"/>
      </c>
      <c r="AN28">
        <f t="shared" si="6"/>
      </c>
      <c r="AO28">
        <f t="shared" si="7"/>
      </c>
      <c r="AP28">
        <f t="shared" si="8"/>
      </c>
      <c r="AQ28">
        <f t="shared" si="9"/>
      </c>
      <c r="AR28">
        <f t="shared" si="10"/>
      </c>
      <c r="AS28">
        <f t="shared" si="15"/>
      </c>
      <c r="AT28" s="46">
        <f t="shared" si="16"/>
      </c>
      <c r="AV28" s="94">
        <f t="shared" si="12"/>
      </c>
      <c r="AY28" s="94">
        <f t="shared" si="13"/>
        <v>0</v>
      </c>
    </row>
    <row r="29" spans="1:51" ht="12.75">
      <c r="A29" s="44"/>
      <c r="B29" s="45"/>
      <c r="C29" s="45"/>
      <c r="D29" s="47"/>
      <c r="E29" s="47"/>
      <c r="F29" s="47"/>
      <c r="G29" s="47"/>
      <c r="H29" s="47"/>
      <c r="I29" s="47"/>
      <c r="J29" s="47"/>
      <c r="K29" s="47"/>
      <c r="L29" s="32"/>
      <c r="M29" s="48" t="s">
        <v>55</v>
      </c>
      <c r="N29" s="49"/>
      <c r="O29" s="50"/>
      <c r="P29" s="51"/>
      <c r="Q29" s="50"/>
      <c r="R29" s="52">
        <v>70</v>
      </c>
      <c r="S29" s="53"/>
      <c r="T29" s="54"/>
      <c r="U29" s="55"/>
      <c r="V29" s="56"/>
      <c r="W29" s="53"/>
      <c r="X29" s="57"/>
      <c r="Y29" s="57"/>
      <c r="Z29" s="57"/>
      <c r="AA29" s="57"/>
      <c r="AB29" s="57"/>
      <c r="AC29" s="57"/>
      <c r="AD29" s="56"/>
      <c r="AE29" s="56"/>
      <c r="AF29" s="54"/>
      <c r="AI29">
        <f t="shared" si="1"/>
      </c>
      <c r="AJ29">
        <f t="shared" si="2"/>
      </c>
      <c r="AK29">
        <f t="shared" si="3"/>
      </c>
      <c r="AL29">
        <f t="shared" si="4"/>
      </c>
      <c r="AM29">
        <f t="shared" si="5"/>
      </c>
      <c r="AN29">
        <f t="shared" si="6"/>
      </c>
      <c r="AO29">
        <f t="shared" si="7"/>
      </c>
      <c r="AP29">
        <f t="shared" si="8"/>
      </c>
      <c r="AQ29">
        <f t="shared" si="9"/>
      </c>
      <c r="AR29">
        <f t="shared" si="10"/>
      </c>
      <c r="AS29">
        <f t="shared" si="15"/>
      </c>
      <c r="AT29" s="46">
        <f t="shared" si="16"/>
      </c>
      <c r="AV29" s="94">
        <f t="shared" si="12"/>
      </c>
      <c r="AY29" s="94">
        <f t="shared" si="13"/>
        <v>0</v>
      </c>
    </row>
    <row r="30" spans="1:51" ht="12.75">
      <c r="A30" s="44"/>
      <c r="B30" s="45"/>
      <c r="C30" s="45"/>
      <c r="D30" s="47"/>
      <c r="E30" s="47"/>
      <c r="F30" s="47"/>
      <c r="G30" s="47"/>
      <c r="H30" s="47"/>
      <c r="I30" s="47"/>
      <c r="J30" s="47"/>
      <c r="K30" s="47"/>
      <c r="L30" s="32">
        <f>SUM(A30:K30)</f>
        <v>0</v>
      </c>
      <c r="M30" s="48" t="s">
        <v>56</v>
      </c>
      <c r="N30" s="49"/>
      <c r="O30" s="50"/>
      <c r="P30" s="51"/>
      <c r="Q30" s="50"/>
      <c r="R30" s="52"/>
      <c r="S30" s="53"/>
      <c r="T30" s="54"/>
      <c r="U30" s="55"/>
      <c r="V30" s="56"/>
      <c r="W30" s="53"/>
      <c r="X30" s="57"/>
      <c r="Y30" s="57"/>
      <c r="Z30" s="57"/>
      <c r="AA30" s="57"/>
      <c r="AB30" s="57"/>
      <c r="AC30" s="57"/>
      <c r="AD30" s="56"/>
      <c r="AE30" s="56"/>
      <c r="AF30" s="54"/>
      <c r="AI30">
        <f t="shared" si="1"/>
      </c>
      <c r="AJ30">
        <f t="shared" si="2"/>
      </c>
      <c r="AK30">
        <f t="shared" si="3"/>
      </c>
      <c r="AL30">
        <f t="shared" si="4"/>
      </c>
      <c r="AM30">
        <f t="shared" si="5"/>
      </c>
      <c r="AN30">
        <f t="shared" si="6"/>
      </c>
      <c r="AO30">
        <f t="shared" si="7"/>
      </c>
      <c r="AP30">
        <f t="shared" si="8"/>
      </c>
      <c r="AQ30">
        <f t="shared" si="9"/>
      </c>
      <c r="AR30">
        <f t="shared" si="10"/>
      </c>
      <c r="AS30">
        <f t="shared" si="15"/>
      </c>
      <c r="AT30" s="46">
        <f t="shared" si="16"/>
      </c>
      <c r="AV30" s="94">
        <f t="shared" si="12"/>
      </c>
      <c r="AY30" s="94">
        <f t="shared" si="13"/>
        <v>0</v>
      </c>
    </row>
    <row r="31" spans="1:51" ht="12.75">
      <c r="A31" s="44"/>
      <c r="B31" s="45"/>
      <c r="C31" s="45"/>
      <c r="D31" s="47"/>
      <c r="E31" s="47"/>
      <c r="F31" s="47"/>
      <c r="G31" s="47"/>
      <c r="H31" s="47"/>
      <c r="I31" s="47"/>
      <c r="J31" s="47"/>
      <c r="K31" s="47"/>
      <c r="L31" s="32">
        <f>SUM(A31:K31)</f>
        <v>0</v>
      </c>
      <c r="M31" s="48" t="s">
        <v>57</v>
      </c>
      <c r="N31" s="49"/>
      <c r="O31" s="50"/>
      <c r="P31" s="51"/>
      <c r="Q31" s="50"/>
      <c r="R31" s="52"/>
      <c r="S31" s="53"/>
      <c r="T31" s="54"/>
      <c r="U31" s="55"/>
      <c r="V31" s="56"/>
      <c r="W31" s="53"/>
      <c r="X31" s="57"/>
      <c r="Y31" s="57"/>
      <c r="Z31" s="57"/>
      <c r="AA31" s="57"/>
      <c r="AB31" s="57"/>
      <c r="AC31" s="57"/>
      <c r="AD31" s="56"/>
      <c r="AE31" s="56"/>
      <c r="AF31" s="54"/>
      <c r="AI31">
        <f t="shared" si="1"/>
      </c>
      <c r="AJ31">
        <f t="shared" si="2"/>
      </c>
      <c r="AK31">
        <f t="shared" si="3"/>
      </c>
      <c r="AL31">
        <f t="shared" si="4"/>
      </c>
      <c r="AM31">
        <f t="shared" si="5"/>
      </c>
      <c r="AN31">
        <f t="shared" si="6"/>
      </c>
      <c r="AO31">
        <f t="shared" si="7"/>
      </c>
      <c r="AP31">
        <f t="shared" si="8"/>
      </c>
      <c r="AQ31">
        <f t="shared" si="9"/>
      </c>
      <c r="AR31">
        <f t="shared" si="10"/>
      </c>
      <c r="AS31">
        <f t="shared" si="15"/>
      </c>
      <c r="AT31" s="46">
        <f t="shared" si="16"/>
      </c>
      <c r="AV31" s="94">
        <f t="shared" si="12"/>
      </c>
      <c r="AY31" s="94">
        <f t="shared" si="13"/>
        <v>0</v>
      </c>
    </row>
    <row r="32" spans="1:51" ht="12.75">
      <c r="A32" s="44"/>
      <c r="B32" s="45"/>
      <c r="C32" s="45"/>
      <c r="D32" s="47"/>
      <c r="E32" s="47"/>
      <c r="F32" s="47"/>
      <c r="G32" s="47"/>
      <c r="H32" s="47"/>
      <c r="I32" s="47"/>
      <c r="J32" s="47"/>
      <c r="K32" s="47"/>
      <c r="L32" s="32"/>
      <c r="M32" s="48" t="s">
        <v>58</v>
      </c>
      <c r="N32" s="49"/>
      <c r="O32" s="50"/>
      <c r="P32" s="51"/>
      <c r="Q32" s="50"/>
      <c r="R32" s="52"/>
      <c r="S32" s="53"/>
      <c r="T32" s="54"/>
      <c r="U32" s="55"/>
      <c r="V32" s="56"/>
      <c r="W32" s="53"/>
      <c r="X32" s="57"/>
      <c r="Y32" s="57"/>
      <c r="Z32" s="57"/>
      <c r="AA32" s="57"/>
      <c r="AB32" s="57"/>
      <c r="AC32" s="57"/>
      <c r="AD32" s="56"/>
      <c r="AE32" s="56"/>
      <c r="AF32" s="54"/>
      <c r="AI32">
        <f t="shared" si="1"/>
      </c>
      <c r="AJ32">
        <f t="shared" si="2"/>
      </c>
      <c r="AK32">
        <f t="shared" si="3"/>
      </c>
      <c r="AL32">
        <f t="shared" si="4"/>
      </c>
      <c r="AM32">
        <f t="shared" si="5"/>
      </c>
      <c r="AN32">
        <f t="shared" si="6"/>
      </c>
      <c r="AO32">
        <f t="shared" si="7"/>
      </c>
      <c r="AP32">
        <f t="shared" si="8"/>
      </c>
      <c r="AQ32">
        <f t="shared" si="9"/>
      </c>
      <c r="AR32">
        <f t="shared" si="10"/>
      </c>
      <c r="AS32">
        <f t="shared" si="15"/>
      </c>
      <c r="AT32" s="46">
        <f t="shared" si="16"/>
      </c>
      <c r="AV32" s="94">
        <f t="shared" si="12"/>
      </c>
      <c r="AY32" s="94">
        <f t="shared" si="13"/>
        <v>0</v>
      </c>
    </row>
    <row r="33" spans="1:51" ht="12.75">
      <c r="A33" s="44"/>
      <c r="B33" s="45"/>
      <c r="C33" s="45"/>
      <c r="D33" s="47"/>
      <c r="E33" s="47">
        <v>32.93</v>
      </c>
      <c r="F33" s="47"/>
      <c r="G33" s="47"/>
      <c r="H33" s="47"/>
      <c r="I33" s="47"/>
      <c r="J33" s="47"/>
      <c r="K33" s="47"/>
      <c r="L33" s="32">
        <f aca="true" t="shared" si="17" ref="L33:L38">SUM(A33:K33)</f>
        <v>32.93</v>
      </c>
      <c r="M33" s="48" t="s">
        <v>59</v>
      </c>
      <c r="N33" s="49"/>
      <c r="O33" s="50">
        <v>20</v>
      </c>
      <c r="P33" s="51"/>
      <c r="Q33" s="50"/>
      <c r="R33" s="52"/>
      <c r="S33" s="53"/>
      <c r="T33" s="54"/>
      <c r="U33" s="55"/>
      <c r="V33" s="56"/>
      <c r="W33" s="53"/>
      <c r="X33" s="57"/>
      <c r="Y33" s="57"/>
      <c r="Z33" s="57"/>
      <c r="AA33" s="57"/>
      <c r="AB33" s="57"/>
      <c r="AC33" s="57"/>
      <c r="AD33" s="56"/>
      <c r="AE33" s="56"/>
      <c r="AF33" s="54">
        <f aca="true" t="shared" si="18" ref="AF33:AF38">L33*O33/100</f>
        <v>6.586</v>
      </c>
      <c r="AI33">
        <f t="shared" si="1"/>
      </c>
      <c r="AJ33">
        <f t="shared" si="2"/>
      </c>
      <c r="AK33">
        <f t="shared" si="3"/>
      </c>
      <c r="AL33">
        <f t="shared" si="4"/>
      </c>
      <c r="AM33">
        <f t="shared" si="5"/>
        <v>32.93</v>
      </c>
      <c r="AN33">
        <f t="shared" si="6"/>
      </c>
      <c r="AO33">
        <f t="shared" si="7"/>
      </c>
      <c r="AP33">
        <f t="shared" si="8"/>
      </c>
      <c r="AQ33">
        <f t="shared" si="9"/>
      </c>
      <c r="AR33">
        <f t="shared" si="10"/>
      </c>
      <c r="AS33">
        <f t="shared" si="15"/>
      </c>
      <c r="AT33" s="46">
        <f aca="true" t="shared" si="19" ref="AT33:AT38">IF(L33&lt;&gt;0,IF(Y33=0,L33,AY33/O33*100),"")</f>
        <v>32.93</v>
      </c>
      <c r="AV33" s="94">
        <f t="shared" si="12"/>
      </c>
      <c r="AY33" s="94">
        <f t="shared" si="13"/>
        <v>6.586</v>
      </c>
    </row>
    <row r="34" spans="1:51" ht="12.75">
      <c r="A34" s="44"/>
      <c r="B34" s="45"/>
      <c r="C34" s="45"/>
      <c r="D34" s="47">
        <f>62.71/65.1*16</f>
        <v>15.412596006144394</v>
      </c>
      <c r="E34" s="47"/>
      <c r="F34" s="47"/>
      <c r="G34" s="47"/>
      <c r="H34" s="47"/>
      <c r="I34" s="47"/>
      <c r="J34" s="47"/>
      <c r="K34" s="47"/>
      <c r="L34" s="32">
        <f t="shared" si="17"/>
        <v>15.412596006144394</v>
      </c>
      <c r="M34" s="48" t="s">
        <v>60</v>
      </c>
      <c r="N34" s="49"/>
      <c r="O34" s="50">
        <v>25</v>
      </c>
      <c r="P34" s="51"/>
      <c r="Q34" s="50"/>
      <c r="R34" s="52"/>
      <c r="S34" s="53"/>
      <c r="T34" s="54"/>
      <c r="U34" s="55"/>
      <c r="V34" s="56"/>
      <c r="W34" s="53"/>
      <c r="X34" s="57"/>
      <c r="Y34" s="57"/>
      <c r="Z34" s="57"/>
      <c r="AA34" s="57"/>
      <c r="AB34" s="57"/>
      <c r="AC34" s="57"/>
      <c r="AD34" s="56"/>
      <c r="AE34" s="56"/>
      <c r="AF34" s="54">
        <f t="shared" si="18"/>
        <v>3.8531490015360985</v>
      </c>
      <c r="AI34">
        <f t="shared" si="1"/>
      </c>
      <c r="AJ34">
        <f t="shared" si="2"/>
      </c>
      <c r="AK34">
        <f t="shared" si="3"/>
      </c>
      <c r="AL34">
        <f t="shared" si="4"/>
        <v>15.412596006144394</v>
      </c>
      <c r="AM34">
        <f t="shared" si="5"/>
      </c>
      <c r="AN34">
        <f t="shared" si="6"/>
      </c>
      <c r="AO34">
        <f t="shared" si="7"/>
      </c>
      <c r="AP34">
        <f t="shared" si="8"/>
      </c>
      <c r="AQ34">
        <f t="shared" si="9"/>
      </c>
      <c r="AR34">
        <f t="shared" si="10"/>
      </c>
      <c r="AS34">
        <f t="shared" si="15"/>
      </c>
      <c r="AT34" s="46">
        <f t="shared" si="19"/>
        <v>15.412596006144394</v>
      </c>
      <c r="AV34" s="94">
        <f t="shared" si="12"/>
      </c>
      <c r="AY34" s="94">
        <f t="shared" si="13"/>
        <v>3.8531490015360985</v>
      </c>
    </row>
    <row r="35" spans="1:51" ht="12.75">
      <c r="A35" s="44"/>
      <c r="B35" s="45"/>
      <c r="C35" s="45"/>
      <c r="D35" s="47">
        <f>62.71/65.1*3.2</f>
        <v>3.082519201228879</v>
      </c>
      <c r="E35" s="47"/>
      <c r="F35" s="47"/>
      <c r="G35" s="47"/>
      <c r="H35" s="47"/>
      <c r="I35" s="47"/>
      <c r="J35" s="47"/>
      <c r="K35" s="47"/>
      <c r="L35" s="32">
        <f t="shared" si="17"/>
        <v>3.082519201228879</v>
      </c>
      <c r="M35" s="48" t="s">
        <v>61</v>
      </c>
      <c r="N35" s="49"/>
      <c r="O35" s="50">
        <v>33</v>
      </c>
      <c r="P35" s="51"/>
      <c r="Q35" s="50"/>
      <c r="R35" s="52"/>
      <c r="S35" s="53"/>
      <c r="T35" s="54"/>
      <c r="U35" s="55"/>
      <c r="V35" s="56"/>
      <c r="W35" s="53"/>
      <c r="X35" s="57"/>
      <c r="Y35" s="57"/>
      <c r="Z35" s="57"/>
      <c r="AA35" s="57"/>
      <c r="AB35" s="57"/>
      <c r="AC35" s="57"/>
      <c r="AD35" s="56"/>
      <c r="AE35" s="56"/>
      <c r="AF35" s="54">
        <f t="shared" si="18"/>
        <v>1.01723133640553</v>
      </c>
      <c r="AI35">
        <f t="shared" si="1"/>
      </c>
      <c r="AJ35">
        <f t="shared" si="2"/>
      </c>
      <c r="AK35">
        <f t="shared" si="3"/>
      </c>
      <c r="AL35">
        <f t="shared" si="4"/>
        <v>3.082519201228879</v>
      </c>
      <c r="AM35">
        <f t="shared" si="5"/>
      </c>
      <c r="AN35">
        <f t="shared" si="6"/>
      </c>
      <c r="AO35">
        <f t="shared" si="7"/>
      </c>
      <c r="AP35">
        <f t="shared" si="8"/>
      </c>
      <c r="AQ35">
        <f t="shared" si="9"/>
      </c>
      <c r="AR35">
        <f t="shared" si="10"/>
      </c>
      <c r="AS35">
        <f t="shared" si="15"/>
      </c>
      <c r="AT35" s="46">
        <f t="shared" si="19"/>
        <v>3.082519201228879</v>
      </c>
      <c r="AV35" s="94">
        <f t="shared" si="12"/>
      </c>
      <c r="AY35" s="94">
        <f t="shared" si="13"/>
        <v>1.01723133640553</v>
      </c>
    </row>
    <row r="36" spans="1:51" ht="12.75">
      <c r="A36" s="44"/>
      <c r="B36" s="45"/>
      <c r="C36" s="45"/>
      <c r="D36" s="47">
        <f>62.71/65.1*20.3</f>
        <v>19.5547311827957</v>
      </c>
      <c r="E36" s="47"/>
      <c r="F36" s="47"/>
      <c r="G36" s="47"/>
      <c r="H36" s="47"/>
      <c r="I36" s="47"/>
      <c r="J36" s="47"/>
      <c r="K36" s="47"/>
      <c r="L36" s="32">
        <f t="shared" si="17"/>
        <v>19.5547311827957</v>
      </c>
      <c r="M36" s="48" t="s">
        <v>62</v>
      </c>
      <c r="N36" s="49"/>
      <c r="O36" s="50">
        <v>33</v>
      </c>
      <c r="P36" s="51"/>
      <c r="Q36" s="50"/>
      <c r="R36" s="52"/>
      <c r="S36" s="53"/>
      <c r="T36" s="54"/>
      <c r="U36" s="55"/>
      <c r="V36" s="56"/>
      <c r="W36" s="53"/>
      <c r="X36" s="57"/>
      <c r="Y36" s="57"/>
      <c r="Z36" s="57"/>
      <c r="AA36" s="57"/>
      <c r="AB36" s="57"/>
      <c r="AC36" s="57"/>
      <c r="AD36" s="56"/>
      <c r="AE36" s="56"/>
      <c r="AF36" s="54">
        <f t="shared" si="18"/>
        <v>6.45306129032258</v>
      </c>
      <c r="AI36">
        <f t="shared" si="1"/>
      </c>
      <c r="AJ36">
        <f t="shared" si="2"/>
      </c>
      <c r="AK36">
        <f t="shared" si="3"/>
      </c>
      <c r="AL36">
        <f t="shared" si="4"/>
        <v>19.5547311827957</v>
      </c>
      <c r="AM36">
        <f t="shared" si="5"/>
      </c>
      <c r="AN36">
        <f t="shared" si="6"/>
      </c>
      <c r="AO36">
        <f t="shared" si="7"/>
      </c>
      <c r="AP36">
        <f t="shared" si="8"/>
      </c>
      <c r="AQ36">
        <f t="shared" si="9"/>
      </c>
      <c r="AR36">
        <f t="shared" si="10"/>
      </c>
      <c r="AS36">
        <f t="shared" si="15"/>
      </c>
      <c r="AT36" s="46">
        <f t="shared" si="19"/>
        <v>19.5547311827957</v>
      </c>
      <c r="AV36" s="94">
        <f t="shared" si="12"/>
      </c>
      <c r="AY36" s="94">
        <f t="shared" si="13"/>
        <v>6.45306129032258</v>
      </c>
    </row>
    <row r="37" spans="1:51" ht="12.75">
      <c r="A37" s="44"/>
      <c r="B37" s="45"/>
      <c r="C37" s="45"/>
      <c r="D37" s="47">
        <f>62.71/65.1*25.6</f>
        <v>24.66015360983103</v>
      </c>
      <c r="E37" s="47"/>
      <c r="F37" s="47"/>
      <c r="G37" s="47"/>
      <c r="H37" s="47"/>
      <c r="I37" s="47"/>
      <c r="J37" s="47"/>
      <c r="K37" s="47"/>
      <c r="L37" s="32">
        <f t="shared" si="17"/>
        <v>24.66015360983103</v>
      </c>
      <c r="M37" s="48" t="s">
        <v>63</v>
      </c>
      <c r="N37" s="49"/>
      <c r="O37" s="50">
        <v>33</v>
      </c>
      <c r="P37" s="51"/>
      <c r="Q37" s="50"/>
      <c r="R37" s="52"/>
      <c r="S37" s="53"/>
      <c r="T37" s="54"/>
      <c r="U37" s="55"/>
      <c r="V37" s="56"/>
      <c r="W37" s="53"/>
      <c r="X37" s="57"/>
      <c r="Y37" s="57"/>
      <c r="Z37" s="57"/>
      <c r="AA37" s="57"/>
      <c r="AB37" s="57"/>
      <c r="AC37" s="57"/>
      <c r="AD37" s="56"/>
      <c r="AE37" s="56"/>
      <c r="AF37" s="54">
        <f t="shared" si="18"/>
        <v>8.13785069124424</v>
      </c>
      <c r="AI37">
        <f t="shared" si="1"/>
      </c>
      <c r="AJ37">
        <f t="shared" si="2"/>
      </c>
      <c r="AK37">
        <f t="shared" si="3"/>
      </c>
      <c r="AL37">
        <f t="shared" si="4"/>
        <v>24.66015360983103</v>
      </c>
      <c r="AM37">
        <f t="shared" si="5"/>
      </c>
      <c r="AN37">
        <f t="shared" si="6"/>
      </c>
      <c r="AO37">
        <f t="shared" si="7"/>
      </c>
      <c r="AP37">
        <f t="shared" si="8"/>
      </c>
      <c r="AQ37">
        <f t="shared" si="9"/>
      </c>
      <c r="AR37">
        <f t="shared" si="10"/>
      </c>
      <c r="AS37">
        <f t="shared" si="15"/>
      </c>
      <c r="AT37" s="46">
        <f t="shared" si="19"/>
        <v>24.66015360983103</v>
      </c>
      <c r="AV37" s="94">
        <f t="shared" si="12"/>
      </c>
      <c r="AY37" s="94">
        <f t="shared" si="13"/>
        <v>8.13785069124424</v>
      </c>
    </row>
    <row r="38" spans="1:51" ht="13.5" thickBot="1">
      <c r="A38" s="44"/>
      <c r="B38" s="45"/>
      <c r="C38" s="45"/>
      <c r="D38" s="47">
        <v>93.88</v>
      </c>
      <c r="E38" s="47"/>
      <c r="F38" s="47"/>
      <c r="G38" s="47"/>
      <c r="H38" s="47"/>
      <c r="I38" s="47"/>
      <c r="J38" s="47"/>
      <c r="K38" s="47"/>
      <c r="L38" s="58">
        <f t="shared" si="17"/>
        <v>93.88</v>
      </c>
      <c r="M38" s="48" t="s">
        <v>64</v>
      </c>
      <c r="N38" s="49"/>
      <c r="O38" s="50">
        <v>38</v>
      </c>
      <c r="P38" s="51"/>
      <c r="Q38" s="50"/>
      <c r="R38" s="52"/>
      <c r="S38" s="53"/>
      <c r="T38" s="54"/>
      <c r="U38" s="55"/>
      <c r="V38" s="56"/>
      <c r="W38" s="53"/>
      <c r="X38" s="57"/>
      <c r="Y38" s="57"/>
      <c r="Z38" s="57"/>
      <c r="AA38" s="57"/>
      <c r="AB38" s="57"/>
      <c r="AC38" s="57"/>
      <c r="AD38" s="56"/>
      <c r="AE38" s="56"/>
      <c r="AF38" s="54">
        <f t="shared" si="18"/>
        <v>35.6744</v>
      </c>
      <c r="AI38">
        <f t="shared" si="1"/>
      </c>
      <c r="AJ38">
        <f t="shared" si="2"/>
      </c>
      <c r="AK38">
        <f t="shared" si="3"/>
      </c>
      <c r="AL38">
        <f t="shared" si="4"/>
        <v>93.88</v>
      </c>
      <c r="AM38">
        <f t="shared" si="5"/>
      </c>
      <c r="AN38">
        <f t="shared" si="6"/>
      </c>
      <c r="AO38">
        <f t="shared" si="7"/>
      </c>
      <c r="AP38">
        <f t="shared" si="8"/>
      </c>
      <c r="AQ38">
        <f t="shared" si="9"/>
      </c>
      <c r="AR38">
        <f t="shared" si="10"/>
      </c>
      <c r="AS38">
        <f t="shared" si="15"/>
      </c>
      <c r="AT38" s="46">
        <f t="shared" si="19"/>
        <v>93.88</v>
      </c>
      <c r="AV38" s="94">
        <f t="shared" si="12"/>
      </c>
      <c r="AY38" s="94">
        <f>SUM(W38,Y38:AF38)</f>
        <v>35.6744</v>
      </c>
    </row>
    <row r="39" spans="1:51" ht="13.5" thickBot="1">
      <c r="A39" s="59">
        <f aca="true" t="shared" si="20" ref="A39:L39">SUM(A7:A38)</f>
        <v>3.5738457525773266</v>
      </c>
      <c r="B39" s="60">
        <f t="shared" si="20"/>
        <v>2.0999999999999996</v>
      </c>
      <c r="C39" s="60">
        <f t="shared" si="20"/>
        <v>108.02241684210526</v>
      </c>
      <c r="D39" s="60">
        <f t="shared" si="20"/>
        <v>156.59</v>
      </c>
      <c r="E39" s="60">
        <f t="shared" si="20"/>
        <v>32.93</v>
      </c>
      <c r="F39" s="60">
        <f t="shared" si="20"/>
        <v>54.400600000000004</v>
      </c>
      <c r="G39" s="60">
        <f t="shared" si="20"/>
        <v>14.63</v>
      </c>
      <c r="H39" s="60">
        <f t="shared" si="20"/>
        <v>5.5</v>
      </c>
      <c r="I39" s="60">
        <f t="shared" si="20"/>
        <v>0.6624</v>
      </c>
      <c r="J39" s="60">
        <f t="shared" si="20"/>
        <v>97.572546</v>
      </c>
      <c r="K39" s="60">
        <f t="shared" si="20"/>
        <v>0</v>
      </c>
      <c r="L39" s="61">
        <f t="shared" si="20"/>
        <v>475.9818085946826</v>
      </c>
      <c r="M39" s="62" t="s">
        <v>22</v>
      </c>
      <c r="N39" s="60"/>
      <c r="O39" s="63"/>
      <c r="P39" s="61"/>
      <c r="Q39" s="63"/>
      <c r="R39" s="64"/>
      <c r="S39" s="59">
        <f aca="true" t="shared" si="21" ref="S39:AF39">SUM(S7:S38)</f>
        <v>4.440892098500626E-16</v>
      </c>
      <c r="T39" s="65">
        <f t="shared" si="21"/>
        <v>98.11200000000001</v>
      </c>
      <c r="U39" s="60">
        <f t="shared" si="21"/>
        <v>0</v>
      </c>
      <c r="V39" s="61">
        <f t="shared" si="21"/>
        <v>33.53184000000001</v>
      </c>
      <c r="W39" s="59">
        <f t="shared" si="21"/>
        <v>23.916262000000003</v>
      </c>
      <c r="X39" s="63">
        <f t="shared" si="21"/>
        <v>111.0573105</v>
      </c>
      <c r="Y39" s="63">
        <f t="shared" si="21"/>
        <v>112.22208340942302</v>
      </c>
      <c r="Z39" s="63">
        <f t="shared" si="21"/>
        <v>25.724778900000004</v>
      </c>
      <c r="AA39" s="63">
        <f t="shared" si="21"/>
        <v>6.3291514</v>
      </c>
      <c r="AB39" s="63">
        <f t="shared" si="21"/>
        <v>15.226429</v>
      </c>
      <c r="AC39" s="63">
        <f t="shared" si="21"/>
        <v>6.412799</v>
      </c>
      <c r="AD39" s="61">
        <f t="shared" si="21"/>
        <v>13.840703</v>
      </c>
      <c r="AE39" s="61">
        <f t="shared" si="21"/>
        <v>9.276029</v>
      </c>
      <c r="AF39" s="65">
        <f t="shared" si="21"/>
        <v>61.72169231950845</v>
      </c>
      <c r="AI39" s="46">
        <f aca="true" t="shared" si="22" ref="AI39:AS39">SUM(AI7:AI38)</f>
        <v>3.6500424048151716</v>
      </c>
      <c r="AJ39" s="46">
        <f t="shared" si="22"/>
        <v>2.0999999999999996</v>
      </c>
      <c r="AK39" s="46">
        <f t="shared" si="22"/>
        <v>108.95709468501204</v>
      </c>
      <c r="AL39" s="46">
        <f t="shared" si="22"/>
        <v>156.59</v>
      </c>
      <c r="AM39" s="46">
        <f t="shared" si="22"/>
        <v>32.93</v>
      </c>
      <c r="AN39" s="46">
        <f t="shared" si="22"/>
        <v>54.871308182128146</v>
      </c>
      <c r="AO39" s="46">
        <f t="shared" si="22"/>
        <v>14.75658795499562</v>
      </c>
      <c r="AP39" s="46">
        <f t="shared" si="22"/>
        <v>5.5475894567652695</v>
      </c>
      <c r="AQ39" s="46">
        <f t="shared" si="22"/>
        <v>0.6637894548170278</v>
      </c>
      <c r="AR39" s="46">
        <f t="shared" si="22"/>
        <v>97.572546</v>
      </c>
      <c r="AS39" s="46">
        <f t="shared" si="22"/>
        <v>0</v>
      </c>
      <c r="AT39" s="46">
        <f>SUM(AT7:AT38)</f>
        <v>477.63895813853327</v>
      </c>
      <c r="AU39" s="46">
        <f>SUM(AU7:AU38)</f>
        <v>-4.218847493575595E-15</v>
      </c>
      <c r="AV39" s="46">
        <f>SUM(AV7:AV38)</f>
        <v>98.18591075267074</v>
      </c>
      <c r="AY39" s="94"/>
    </row>
    <row r="40" spans="1:46" ht="12.75">
      <c r="A40" s="66">
        <f aca="true" t="shared" si="23" ref="A40:K40">A$39*A48/1000</f>
        <v>0.5074860968659803</v>
      </c>
      <c r="B40" s="67">
        <f t="shared" si="23"/>
        <v>0.14384999999999998</v>
      </c>
      <c r="C40" s="67">
        <f t="shared" si="23"/>
        <v>7.99365884631579</v>
      </c>
      <c r="D40" s="67">
        <f t="shared" si="23"/>
        <v>11.58766</v>
      </c>
      <c r="E40" s="67">
        <f t="shared" si="23"/>
        <v>2.40389</v>
      </c>
      <c r="F40" s="67">
        <f t="shared" si="23"/>
        <v>0</v>
      </c>
      <c r="G40" s="67">
        <f t="shared" si="23"/>
        <v>0</v>
      </c>
      <c r="H40" s="67">
        <f t="shared" si="23"/>
        <v>0</v>
      </c>
      <c r="I40" s="67">
        <f t="shared" si="23"/>
        <v>0</v>
      </c>
      <c r="J40" s="67">
        <f t="shared" si="23"/>
        <v>0</v>
      </c>
      <c r="K40" s="67">
        <f t="shared" si="23"/>
        <v>0</v>
      </c>
      <c r="L40" s="67">
        <f>SUM(A40:K40)</f>
        <v>22.63654494318177</v>
      </c>
      <c r="M40" s="68" t="s">
        <v>65</v>
      </c>
      <c r="N40" s="69"/>
      <c r="O40" s="97">
        <f>L40*1000/$I$1</f>
        <v>5.3062693256403595</v>
      </c>
      <c r="P40" s="83" t="s">
        <v>71</v>
      </c>
      <c r="Q40" s="83"/>
      <c r="R40" s="83"/>
      <c r="S40" s="97">
        <f>AT40*1000/$I$1</f>
        <v>5.3250189939462365</v>
      </c>
      <c r="T40" s="83" t="str">
        <f>P40&amp;", graddagskorrigeret"</f>
        <v>tons/indbygger, graddagskorrigeret</v>
      </c>
      <c r="U40" s="83"/>
      <c r="V40" s="83"/>
      <c r="W40" s="83"/>
      <c r="X40" s="69"/>
      <c r="Y40" s="95">
        <f>3112/3079.7</f>
        <v>1.0104880345488199</v>
      </c>
      <c r="Z40" s="2"/>
      <c r="AA40" s="2"/>
      <c r="AB40" s="2"/>
      <c r="AC40" s="2"/>
      <c r="AI40">
        <f>AI$39*A48/1000</f>
        <v>0.5183060214837544</v>
      </c>
      <c r="AJ40">
        <f aca="true" t="shared" si="24" ref="AJ40:AS40">AJ$39*B48/1000</f>
        <v>0.14384999999999998</v>
      </c>
      <c r="AK40">
        <f t="shared" si="24"/>
        <v>8.06282500669089</v>
      </c>
      <c r="AL40">
        <f t="shared" si="24"/>
        <v>11.58766</v>
      </c>
      <c r="AM40">
        <f t="shared" si="24"/>
        <v>2.40389</v>
      </c>
      <c r="AN40">
        <f>AN$39*F48/1000</f>
        <v>0</v>
      </c>
      <c r="AO40">
        <f t="shared" si="24"/>
        <v>0</v>
      </c>
      <c r="AP40">
        <f t="shared" si="24"/>
        <v>0</v>
      </c>
      <c r="AQ40">
        <f t="shared" si="24"/>
        <v>0</v>
      </c>
      <c r="AR40">
        <f t="shared" si="24"/>
        <v>0</v>
      </c>
      <c r="AS40">
        <f t="shared" si="24"/>
        <v>0</v>
      </c>
      <c r="AT40">
        <f>SUM(AI40:AS40)</f>
        <v>22.716531028174646</v>
      </c>
    </row>
    <row r="41" spans="1:46" ht="12.75">
      <c r="A41" s="29">
        <f aca="true" t="shared" si="25" ref="A41:K41">A$39*A49</f>
        <v>0.10721537257731979</v>
      </c>
      <c r="B41" s="31">
        <f t="shared" si="25"/>
        <v>0</v>
      </c>
      <c r="C41" s="31">
        <f t="shared" si="25"/>
        <v>10.154107183157894</v>
      </c>
      <c r="D41" s="31">
        <f t="shared" si="25"/>
        <v>14.71946</v>
      </c>
      <c r="E41" s="31">
        <f t="shared" si="25"/>
        <v>0.72446</v>
      </c>
      <c r="F41" s="31">
        <f t="shared" si="25"/>
        <v>7.072078000000001</v>
      </c>
      <c r="G41" s="31">
        <f t="shared" si="25"/>
        <v>0.21945</v>
      </c>
      <c r="H41" s="31">
        <f t="shared" si="25"/>
        <v>0.08249999999999999</v>
      </c>
      <c r="I41" s="31">
        <f t="shared" si="25"/>
        <v>0</v>
      </c>
      <c r="J41" s="31">
        <f t="shared" si="25"/>
        <v>0</v>
      </c>
      <c r="K41" s="31">
        <f t="shared" si="25"/>
        <v>0</v>
      </c>
      <c r="L41" s="31">
        <f>SUM(A41:K41)</f>
        <v>33.07927055573522</v>
      </c>
      <c r="M41" s="36" t="s">
        <v>66</v>
      </c>
      <c r="N41" s="70"/>
      <c r="O41" s="98">
        <f>L41*1000/$I$1</f>
        <v>7.75416562487933</v>
      </c>
      <c r="P41" s="37" t="s">
        <v>72</v>
      </c>
      <c r="Q41" s="37"/>
      <c r="R41" s="37"/>
      <c r="S41" s="98">
        <f>AT41*1000/$I$1</f>
        <v>7.7902533749153</v>
      </c>
      <c r="T41" s="37" t="str">
        <f>P41&amp;", graddagskorrigeret"</f>
        <v>kg/indbygger, graddagskorrigeret</v>
      </c>
      <c r="U41" s="37"/>
      <c r="V41" s="37"/>
      <c r="W41" s="37"/>
      <c r="X41" s="70"/>
      <c r="AI41">
        <f>AI$39*A49</f>
        <v>0.10950127214445514</v>
      </c>
      <c r="AJ41">
        <f aca="true" t="shared" si="26" ref="AJ41:AS41">AJ$39*B49</f>
        <v>0</v>
      </c>
      <c r="AK41">
        <f t="shared" si="26"/>
        <v>10.241966900391132</v>
      </c>
      <c r="AL41">
        <f t="shared" si="26"/>
        <v>14.71946</v>
      </c>
      <c r="AM41">
        <f t="shared" si="26"/>
        <v>0.72446</v>
      </c>
      <c r="AN41">
        <f t="shared" si="26"/>
        <v>7.133270063676659</v>
      </c>
      <c r="AO41">
        <f t="shared" si="26"/>
        <v>0.2213488193249343</v>
      </c>
      <c r="AP41">
        <f t="shared" si="26"/>
        <v>0.08321384185147904</v>
      </c>
      <c r="AQ41">
        <f t="shared" si="26"/>
        <v>0</v>
      </c>
      <c r="AR41">
        <f t="shared" si="26"/>
        <v>0</v>
      </c>
      <c r="AS41">
        <f t="shared" si="26"/>
        <v>0</v>
      </c>
      <c r="AT41">
        <f>SUM(AI41:AS41)</f>
        <v>33.23322089738867</v>
      </c>
    </row>
    <row r="42" spans="1:46" ht="13.5" thickBot="1">
      <c r="A42" s="29">
        <f aca="true" t="shared" si="27" ref="A42:K42">A$39*A50</f>
        <v>1.0006768107216515</v>
      </c>
      <c r="B42" s="31">
        <f t="shared" si="27"/>
        <v>0.20999999999999996</v>
      </c>
      <c r="C42" s="31">
        <f t="shared" si="27"/>
        <v>10.802241684210527</v>
      </c>
      <c r="D42" s="31">
        <f t="shared" si="27"/>
        <v>238.01680000000002</v>
      </c>
      <c r="E42" s="31">
        <f t="shared" si="27"/>
        <v>24.038899999999998</v>
      </c>
      <c r="F42" s="31">
        <f t="shared" si="27"/>
        <v>4.896054</v>
      </c>
      <c r="G42" s="31">
        <f t="shared" si="27"/>
        <v>1.3167</v>
      </c>
      <c r="H42" s="31">
        <f t="shared" si="27"/>
        <v>0.495</v>
      </c>
      <c r="I42" s="31">
        <f t="shared" si="27"/>
        <v>0</v>
      </c>
      <c r="J42" s="31">
        <f t="shared" si="27"/>
        <v>0</v>
      </c>
      <c r="K42" s="31">
        <f t="shared" si="27"/>
        <v>0</v>
      </c>
      <c r="L42" s="31">
        <f>SUM(A42:K42)</f>
        <v>280.7763724949322</v>
      </c>
      <c r="M42" s="36" t="s">
        <v>89</v>
      </c>
      <c r="N42" s="70"/>
      <c r="O42" s="99">
        <f>L42*1000/$I$1</f>
        <v>65.81724624822603</v>
      </c>
      <c r="P42" s="88" t="s">
        <v>72</v>
      </c>
      <c r="Q42" s="88"/>
      <c r="R42" s="88"/>
      <c r="S42" s="99">
        <f>AT42*1000/$I$1</f>
        <v>65.85776255164075</v>
      </c>
      <c r="T42" s="88" t="str">
        <f>P42&amp;", graddagskorrigeret"</f>
        <v>kg/indbygger, graddagskorrigeret</v>
      </c>
      <c r="U42" s="88"/>
      <c r="V42" s="88"/>
      <c r="W42" s="88"/>
      <c r="X42" s="74"/>
      <c r="AI42">
        <f>AI$39*A50</f>
        <v>1.0220118733482482</v>
      </c>
      <c r="AJ42">
        <f aca="true" t="shared" si="28" ref="AJ42:AS42">AJ$39*B50</f>
        <v>0.20999999999999996</v>
      </c>
      <c r="AK42">
        <f t="shared" si="28"/>
        <v>10.895709468501204</v>
      </c>
      <c r="AL42">
        <f t="shared" si="28"/>
        <v>238.01680000000002</v>
      </c>
      <c r="AM42">
        <f t="shared" si="28"/>
        <v>24.038899999999998</v>
      </c>
      <c r="AN42">
        <f t="shared" si="28"/>
        <v>4.938417736391533</v>
      </c>
      <c r="AO42">
        <f t="shared" si="28"/>
        <v>1.3280929159496058</v>
      </c>
      <c r="AP42">
        <f t="shared" si="28"/>
        <v>0.4992830511088742</v>
      </c>
      <c r="AQ42">
        <f t="shared" si="28"/>
        <v>0</v>
      </c>
      <c r="AR42">
        <f t="shared" si="28"/>
        <v>0</v>
      </c>
      <c r="AS42">
        <f t="shared" si="28"/>
        <v>0</v>
      </c>
      <c r="AT42" s="46">
        <f>SUM(AI42:AS42)</f>
        <v>280.94921504529947</v>
      </c>
    </row>
    <row r="43" spans="1:24" ht="13.5" hidden="1" thickBot="1">
      <c r="A43" s="71" t="e">
        <f>A$39*#REF!</f>
        <v>#REF!</v>
      </c>
      <c r="B43" s="72" t="e">
        <f>B$39*#REF!</f>
        <v>#REF!</v>
      </c>
      <c r="C43" s="72" t="e">
        <f>C$39*#REF!</f>
        <v>#REF!</v>
      </c>
      <c r="D43" s="72" t="e">
        <f>D$39*#REF!</f>
        <v>#REF!</v>
      </c>
      <c r="E43" s="72" t="e">
        <f>E$39*#REF!</f>
        <v>#REF!</v>
      </c>
      <c r="F43" s="72" t="e">
        <f>F$39*#REF!</f>
        <v>#REF!</v>
      </c>
      <c r="G43" s="72" t="e">
        <f>G$39*#REF!</f>
        <v>#REF!</v>
      </c>
      <c r="H43" s="72" t="e">
        <f>H$39*#REF!</f>
        <v>#REF!</v>
      </c>
      <c r="I43" s="72" t="e">
        <f>I$39*#REF!</f>
        <v>#REF!</v>
      </c>
      <c r="J43" s="72" t="e">
        <f>J$39*#REF!</f>
        <v>#REF!</v>
      </c>
      <c r="K43" s="72" t="e">
        <f>K$39*#REF!</f>
        <v>#REF!</v>
      </c>
      <c r="L43" s="72" t="e">
        <f>SUM(A43:K43)</f>
        <v>#REF!</v>
      </c>
      <c r="M43" s="73" t="s">
        <v>67</v>
      </c>
      <c r="N43" s="74"/>
      <c r="S43" s="14"/>
      <c r="T43" s="18" t="str">
        <f>P43&amp;", graddagskorrigeret"</f>
        <v>, graddagskorrigeret</v>
      </c>
      <c r="U43" s="18"/>
      <c r="V43" s="18"/>
      <c r="W43" s="18"/>
      <c r="X43" s="20"/>
    </row>
    <row r="44" spans="1:24" ht="12.75">
      <c r="A44" s="66"/>
      <c r="B44" s="67"/>
      <c r="C44" s="67"/>
      <c r="D44" s="67"/>
      <c r="E44" s="67"/>
      <c r="F44" s="67">
        <v>117.4</v>
      </c>
      <c r="G44" s="67"/>
      <c r="H44" s="67">
        <v>9.8</v>
      </c>
      <c r="I44" s="67"/>
      <c r="J44" s="67"/>
      <c r="K44" s="67">
        <v>145.1</v>
      </c>
      <c r="L44" s="67">
        <f>SUM(A44:K44)</f>
        <v>272.3</v>
      </c>
      <c r="M44" s="68" t="s">
        <v>68</v>
      </c>
      <c r="N44" s="69"/>
      <c r="O44" s="101">
        <f>SUM(F39:K39)/L39</f>
        <v>0.36296669931584874</v>
      </c>
      <c r="P44" s="2" t="s">
        <v>73</v>
      </c>
      <c r="Q44" s="2"/>
      <c r="R44" s="2"/>
      <c r="S44" s="100">
        <f>SUM(AN39:AS39)/AT39</f>
        <v>0.36306046249772217</v>
      </c>
      <c r="T44" s="2" t="str">
        <f>P44&amp;", graddagskorrigeret"</f>
        <v>Vedvarende , graddagskorrigeret</v>
      </c>
      <c r="U44" s="2"/>
      <c r="V44" s="2"/>
      <c r="W44" s="2"/>
      <c r="X44" s="3"/>
    </row>
    <row r="45" spans="1:24" ht="13.5" thickBot="1">
      <c r="A45" s="75"/>
      <c r="B45" s="76"/>
      <c r="C45" s="76"/>
      <c r="D45" s="76"/>
      <c r="E45" s="76"/>
      <c r="F45" s="77">
        <f>F39/F44</f>
        <v>0.4633781942078365</v>
      </c>
      <c r="G45" s="76"/>
      <c r="H45" s="77">
        <f>H39/H44</f>
        <v>0.5612244897959183</v>
      </c>
      <c r="I45" s="76"/>
      <c r="J45" s="76"/>
      <c r="K45" s="77">
        <f>K39/K44</f>
        <v>0</v>
      </c>
      <c r="L45" s="102">
        <f>SUM(F39,H39,K39)/L44</f>
        <v>0.21998016893132574</v>
      </c>
      <c r="M45" s="73" t="s">
        <v>69</v>
      </c>
      <c r="N45" s="74"/>
      <c r="O45" s="11"/>
      <c r="P45" s="12" t="s">
        <v>74</v>
      </c>
      <c r="Q45" s="12"/>
      <c r="R45" s="12"/>
      <c r="S45" s="11"/>
      <c r="T45" s="12" t="str">
        <f>P45</f>
        <v>Energi</v>
      </c>
      <c r="U45" s="12"/>
      <c r="V45" s="12"/>
      <c r="W45" s="12"/>
      <c r="X45" s="13"/>
    </row>
    <row r="46" ht="13.5" thickBot="1">
      <c r="M46" s="5"/>
    </row>
    <row r="47" spans="1:13" ht="52.5" customHeight="1" thickBot="1">
      <c r="A47" s="78" t="str">
        <f aca="true" t="shared" si="29" ref="A47:K47">A6</f>
        <v>elimport</v>
      </c>
      <c r="B47" s="79" t="str">
        <f t="shared" si="29"/>
        <v>LPG og petroleum</v>
      </c>
      <c r="C47" s="79" t="str">
        <f t="shared" si="29"/>
        <v>Olie</v>
      </c>
      <c r="D47" s="79" t="str">
        <f t="shared" si="29"/>
        <v>Diesel</v>
      </c>
      <c r="E47" s="79" t="str">
        <f t="shared" si="29"/>
        <v>Benzin</v>
      </c>
      <c r="F47" s="79" t="str">
        <f t="shared" si="29"/>
        <v>Halm</v>
      </c>
      <c r="G47" s="79" t="str">
        <f t="shared" si="29"/>
        <v>Træpiller</v>
      </c>
      <c r="H47" s="79" t="str">
        <f t="shared" si="29"/>
        <v>Træ og træflis</v>
      </c>
      <c r="I47" s="79" t="str">
        <f t="shared" si="29"/>
        <v>Solvarme</v>
      </c>
      <c r="J47" s="79" t="str">
        <f t="shared" si="29"/>
        <v>Vind</v>
      </c>
      <c r="K47" s="79" t="str">
        <f t="shared" si="29"/>
        <v>Biogas</v>
      </c>
      <c r="M47" s="5"/>
    </row>
    <row r="48" spans="1:17" ht="12.75">
      <c r="A48" s="80">
        <v>142</v>
      </c>
      <c r="B48" s="81">
        <v>68.5</v>
      </c>
      <c r="C48" s="81">
        <v>74</v>
      </c>
      <c r="D48" s="81">
        <v>74</v>
      </c>
      <c r="E48" s="81">
        <v>73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2" t="str">
        <f>"CO2-emissionsværdier (ton/"&amp;$C$3&amp;")"</f>
        <v>CO2-emissionsværdier (ton/TJ)</v>
      </c>
      <c r="M48" s="83"/>
      <c r="N48" s="69"/>
      <c r="Q48" s="84"/>
    </row>
    <row r="49" spans="1:14" ht="12.75">
      <c r="A49" s="85">
        <v>0.03</v>
      </c>
      <c r="B49" s="35">
        <v>0</v>
      </c>
      <c r="C49" s="35">
        <v>0.094</v>
      </c>
      <c r="D49" s="35">
        <v>0.094</v>
      </c>
      <c r="E49" s="35">
        <v>0.022</v>
      </c>
      <c r="F49" s="35">
        <v>0.13</v>
      </c>
      <c r="G49" s="35">
        <v>0.015</v>
      </c>
      <c r="H49" s="35">
        <v>0.015</v>
      </c>
      <c r="I49" s="35">
        <v>0</v>
      </c>
      <c r="J49" s="35">
        <v>0</v>
      </c>
      <c r="K49" s="35">
        <v>0</v>
      </c>
      <c r="L49" s="86" t="str">
        <f>"SO2-emissionsværdier (ton/"&amp;$C$3&amp;")"</f>
        <v>SO2-emissionsværdier (ton/TJ)</v>
      </c>
      <c r="M49" s="37"/>
      <c r="N49" s="70"/>
    </row>
    <row r="50" spans="1:14" ht="13.5" thickBot="1">
      <c r="A50" s="75">
        <v>0.28</v>
      </c>
      <c r="B50" s="76">
        <v>0.1</v>
      </c>
      <c r="C50" s="76">
        <v>0.1</v>
      </c>
      <c r="D50" s="76">
        <v>1.52</v>
      </c>
      <c r="E50" s="76">
        <v>0.73</v>
      </c>
      <c r="F50" s="76">
        <v>0.09</v>
      </c>
      <c r="G50" s="76">
        <v>0.09</v>
      </c>
      <c r="H50" s="76">
        <v>0.09</v>
      </c>
      <c r="I50" s="76">
        <v>0</v>
      </c>
      <c r="J50" s="76">
        <v>0</v>
      </c>
      <c r="K50" s="76">
        <v>0.2</v>
      </c>
      <c r="L50" s="87" t="str">
        <f>"NOx-emissionsværdier (ton/"&amp;$C$3&amp;")"</f>
        <v>NOx-emissionsværdier (ton/TJ)</v>
      </c>
      <c r="M50" s="88"/>
      <c r="N50" s="74"/>
    </row>
  </sheetData>
  <mergeCells count="1">
    <mergeCell ref="C2:D2"/>
  </mergeCells>
  <dataValidations count="1">
    <dataValidation type="list" allowBlank="1" showInputMessage="1" showErrorMessage="1" promptTitle="Energienhed" prompt="Vælg her en passende energienhed" sqref="C3">
      <formula1>enhedsliste</formula1>
    </dataValidation>
  </dataValidations>
  <printOptions headings="1"/>
  <pageMargins left="0.45" right="0.45" top="0.7" bottom="0.55" header="0.5118110236220472" footer="0.33"/>
  <pageSetup cellComments="atEnd" fitToHeight="1" fitToWidth="1" horizontalDpi="600" verticalDpi="600" orientation="landscape" paperSize="9" scale="71" r:id="rId1"/>
  <headerFooter alignWithMargins="0">
    <oddHeader>&amp;LPlanEnergi&amp;C&amp;A</oddHeader>
    <oddFooter>&amp;L&amp;F&amp;C&amp;P&amp;R&amp;T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112">
    <pageSetUpPr fitToPage="1"/>
  </sheetPr>
  <dimension ref="A1:AY50"/>
  <sheetViews>
    <sheetView showGridLines="0" tabSelected="1" zoomScale="75" zoomScaleNormal="75" workbookViewId="0" topLeftCell="A10">
      <selection activeCell="Y40" sqref="Y40"/>
    </sheetView>
  </sheetViews>
  <sheetFormatPr defaultColWidth="9.33203125" defaultRowHeight="12.75"/>
  <cols>
    <col min="1" max="1" width="6.5" style="0" customWidth="1"/>
    <col min="2" max="2" width="6.16015625" style="0" customWidth="1"/>
    <col min="3" max="3" width="6.83203125" style="0" customWidth="1"/>
    <col min="4" max="4" width="7.16015625" style="0" customWidth="1"/>
    <col min="5" max="11" width="5.83203125" style="0" customWidth="1"/>
    <col min="12" max="12" width="7.33203125" style="0" customWidth="1"/>
    <col min="13" max="13" width="23.16015625" style="0" customWidth="1"/>
    <col min="14" max="14" width="4.83203125" style="0" customWidth="1"/>
    <col min="15" max="15" width="7.5" style="0" customWidth="1"/>
    <col min="16" max="18" width="4.83203125" style="0" customWidth="1"/>
    <col min="19" max="19" width="7.16015625" style="0" customWidth="1"/>
    <col min="20" max="20" width="6.33203125" style="0" customWidth="1"/>
    <col min="21" max="21" width="7" style="0" customWidth="1"/>
    <col min="22" max="22" width="7.16015625" style="0" customWidth="1"/>
    <col min="23" max="23" width="6" style="0" customWidth="1"/>
    <col min="24" max="25" width="6.83203125" style="0" customWidth="1"/>
    <col min="26" max="31" width="5.83203125" style="0" customWidth="1"/>
    <col min="32" max="32" width="6.33203125" style="0" customWidth="1"/>
    <col min="35" max="45" width="5.83203125" style="0" customWidth="1"/>
    <col min="46" max="46" width="6.5" style="0" customWidth="1"/>
    <col min="47" max="47" width="6.66015625" style="0" customWidth="1"/>
    <col min="48" max="48" width="6" style="0" customWidth="1"/>
    <col min="49" max="50" width="5.83203125" style="0" customWidth="1"/>
  </cols>
  <sheetData>
    <row r="1" spans="1:32" ht="12.75">
      <c r="A1" s="1" t="s">
        <v>0</v>
      </c>
      <c r="B1" s="2"/>
      <c r="C1" s="2" t="s">
        <v>1</v>
      </c>
      <c r="D1" s="3"/>
      <c r="E1" s="1" t="s">
        <v>70</v>
      </c>
      <c r="F1" s="2"/>
      <c r="G1" s="2"/>
      <c r="H1" s="2"/>
      <c r="I1" s="3">
        <v>4247</v>
      </c>
      <c r="S1" s="93" t="s">
        <v>94</v>
      </c>
      <c r="T1" s="93">
        <v>0.361</v>
      </c>
      <c r="U1" s="93" t="s">
        <v>95</v>
      </c>
      <c r="V1" s="139">
        <f>SUM(W1:AE1,T1)</f>
        <v>98.11200000000001</v>
      </c>
      <c r="W1" s="139">
        <f>(0.155+6.211+1.797+0.018)*0.175</f>
        <v>1.431675</v>
      </c>
      <c r="X1" s="139">
        <f>(0.155+6.211+1.797+0.018)*0.825</f>
        <v>6.749325000000001</v>
      </c>
      <c r="Y1" s="93"/>
      <c r="Z1" s="139">
        <f>0.555+0.057+0.023+16.774+4.82+0.114+6.829+0.114</f>
        <v>29.286000000000005</v>
      </c>
      <c r="AA1" s="93">
        <f>3.545+3.891</f>
        <v>7.436</v>
      </c>
      <c r="AB1" s="93">
        <f>17.852+0.299+0.082+0.404</f>
        <v>18.637</v>
      </c>
      <c r="AC1" s="140">
        <f>5.15+0.03+0.12+0.099+0.185+0.915+0.78</f>
        <v>7.279000000000001</v>
      </c>
      <c r="AD1" s="141">
        <f>10.557+0.822+2.31+0.12+0.845</f>
        <v>14.654</v>
      </c>
      <c r="AE1" s="140">
        <f>2.626+1.967+1.758+0.952+1.392+0.91+1.658+1.015</f>
        <v>12.278</v>
      </c>
      <c r="AF1" s="93"/>
    </row>
    <row r="2" spans="1:32" ht="12.75">
      <c r="A2" s="4" t="s">
        <v>2</v>
      </c>
      <c r="B2" s="5"/>
      <c r="C2" s="153">
        <v>2003</v>
      </c>
      <c r="D2" s="154"/>
      <c r="E2" s="4"/>
      <c r="F2" s="5"/>
      <c r="G2" s="5"/>
      <c r="H2" s="5"/>
      <c r="I2" s="89"/>
      <c r="S2" s="93" t="s">
        <v>81</v>
      </c>
      <c r="T2" s="93">
        <v>0.5</v>
      </c>
      <c r="U2" s="93" t="s">
        <v>22</v>
      </c>
      <c r="V2" s="139">
        <f>SUM(W2:AE2,T2)</f>
        <v>94.21000000000001</v>
      </c>
      <c r="W2" s="139">
        <f>(4.14)*0.175</f>
        <v>0.7244999999999999</v>
      </c>
      <c r="X2" s="139">
        <f>(4.14)*0.825</f>
        <v>3.4154999999999998</v>
      </c>
      <c r="Y2" s="93"/>
      <c r="Z2" s="139">
        <f>0.555+0.057+0.023+16.774+4.82+0.114+6.829+0.114</f>
        <v>29.286000000000005</v>
      </c>
      <c r="AA2" s="93">
        <f>3.545+3.891</f>
        <v>7.436</v>
      </c>
      <c r="AB2" s="93">
        <f>17.852+0.299+0.082+0.404</f>
        <v>18.637</v>
      </c>
      <c r="AC2" s="140">
        <f>5.15+0.03+0.12+0.099+0.185+0.915+0.78</f>
        <v>7.279000000000001</v>
      </c>
      <c r="AD2" s="141">
        <f>10.557+0.822+2.31+0.12+0.845</f>
        <v>14.654</v>
      </c>
      <c r="AE2" s="140">
        <f>2.626+1.967+1.758+0.952+1.392+0.91+1.658+1.015</f>
        <v>12.278</v>
      </c>
      <c r="AF2" s="93"/>
    </row>
    <row r="3" spans="1:26" ht="13.5" thickBot="1">
      <c r="A3" s="11" t="s">
        <v>3</v>
      </c>
      <c r="B3" s="12"/>
      <c r="C3" s="12" t="s">
        <v>4</v>
      </c>
      <c r="D3" s="13"/>
      <c r="E3" s="11"/>
      <c r="F3" s="12"/>
      <c r="G3" s="12"/>
      <c r="H3" s="12"/>
      <c r="I3" s="13"/>
      <c r="W3" s="46"/>
      <c r="X3" s="46"/>
      <c r="Z3" s="46"/>
    </row>
    <row r="4" spans="1:35" ht="13.5" thickBot="1">
      <c r="A4" s="14"/>
      <c r="B4" s="2"/>
      <c r="C4" s="2"/>
      <c r="D4" s="15"/>
      <c r="E4" s="15"/>
      <c r="F4" s="15"/>
      <c r="G4" s="15"/>
      <c r="H4" s="15"/>
      <c r="I4" s="15"/>
      <c r="J4" s="15"/>
      <c r="K4" s="15"/>
      <c r="L4" s="15"/>
      <c r="M4" s="16" t="str">
        <f>"Energibalance, "&amp;sted&amp;" "&amp;år</f>
        <v>Energibalance, Samsø 2003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7"/>
      <c r="AI4" t="s">
        <v>83</v>
      </c>
    </row>
    <row r="5" spans="1:49" ht="13.5" thickBot="1">
      <c r="A5" s="14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6</v>
      </c>
      <c r="N5" s="18" t="s">
        <v>7</v>
      </c>
      <c r="O5" s="18"/>
      <c r="P5" s="18"/>
      <c r="Q5" s="18"/>
      <c r="R5" s="18"/>
      <c r="S5" s="14" t="s">
        <v>8</v>
      </c>
      <c r="T5" s="20"/>
      <c r="U5" s="18" t="s">
        <v>9</v>
      </c>
      <c r="V5" s="18"/>
      <c r="W5" s="14" t="s">
        <v>10</v>
      </c>
      <c r="X5" s="18"/>
      <c r="Y5" s="18"/>
      <c r="Z5" s="18"/>
      <c r="AA5" s="18"/>
      <c r="AB5" s="18"/>
      <c r="AC5" s="18"/>
      <c r="AD5" s="18"/>
      <c r="AE5" s="18"/>
      <c r="AF5" s="20"/>
      <c r="AI5" t="str">
        <f>A5</f>
        <v>Brændsel</v>
      </c>
      <c r="AU5" t="str">
        <f>S5</f>
        <v>El-net</v>
      </c>
      <c r="AW5" t="str">
        <f>U5</f>
        <v>Fjv-net</v>
      </c>
    </row>
    <row r="6" spans="1:51" s="28" customFormat="1" ht="62.25" customHeight="1" thickBot="1">
      <c r="A6" s="21" t="s">
        <v>11</v>
      </c>
      <c r="B6" s="22" t="s">
        <v>12</v>
      </c>
      <c r="C6" s="22" t="s">
        <v>13</v>
      </c>
      <c r="D6" s="23" t="s">
        <v>14</v>
      </c>
      <c r="E6" s="23" t="s">
        <v>15</v>
      </c>
      <c r="F6" s="23" t="s">
        <v>16</v>
      </c>
      <c r="G6" s="23" t="s">
        <v>17</v>
      </c>
      <c r="H6" s="23" t="s">
        <v>18</v>
      </c>
      <c r="I6" s="23" t="s">
        <v>19</v>
      </c>
      <c r="J6" s="23" t="s">
        <v>20</v>
      </c>
      <c r="K6" s="23" t="s">
        <v>21</v>
      </c>
      <c r="L6" s="24" t="s">
        <v>22</v>
      </c>
      <c r="M6" s="25" t="s">
        <v>23</v>
      </c>
      <c r="N6" s="22" t="s">
        <v>24</v>
      </c>
      <c r="O6" s="23" t="s">
        <v>25</v>
      </c>
      <c r="P6" s="24" t="s">
        <v>26</v>
      </c>
      <c r="Q6" s="23" t="s">
        <v>8</v>
      </c>
      <c r="R6" s="26" t="s">
        <v>9</v>
      </c>
      <c r="S6" s="21" t="s">
        <v>27</v>
      </c>
      <c r="T6" s="27" t="s">
        <v>28</v>
      </c>
      <c r="U6" s="22" t="s">
        <v>27</v>
      </c>
      <c r="V6" s="24" t="s">
        <v>28</v>
      </c>
      <c r="W6" s="21" t="s">
        <v>29</v>
      </c>
      <c r="X6" s="23" t="s">
        <v>30</v>
      </c>
      <c r="Y6" s="23" t="s">
        <v>31</v>
      </c>
      <c r="Z6" s="23" t="s">
        <v>75</v>
      </c>
      <c r="AA6" s="23" t="s">
        <v>76</v>
      </c>
      <c r="AB6" s="23" t="s">
        <v>77</v>
      </c>
      <c r="AC6" s="23" t="s">
        <v>78</v>
      </c>
      <c r="AD6" s="24" t="s">
        <v>79</v>
      </c>
      <c r="AE6" s="24" t="s">
        <v>80</v>
      </c>
      <c r="AF6" s="27" t="s">
        <v>32</v>
      </c>
      <c r="AI6" s="28" t="str">
        <f>A6</f>
        <v>elimport</v>
      </c>
      <c r="AJ6" s="28" t="str">
        <f aca="true" t="shared" si="0" ref="AJ6:AT6">B6</f>
        <v>LPG og petroleum</v>
      </c>
      <c r="AK6" s="28" t="str">
        <f t="shared" si="0"/>
        <v>Olie</v>
      </c>
      <c r="AL6" s="28" t="str">
        <f t="shared" si="0"/>
        <v>Diesel</v>
      </c>
      <c r="AM6" s="28" t="str">
        <f t="shared" si="0"/>
        <v>Benzin</v>
      </c>
      <c r="AN6" s="28" t="str">
        <f t="shared" si="0"/>
        <v>Halm</v>
      </c>
      <c r="AO6" s="28" t="str">
        <f t="shared" si="0"/>
        <v>Træpiller</v>
      </c>
      <c r="AP6" s="28" t="str">
        <f t="shared" si="0"/>
        <v>Træ og træflis</v>
      </c>
      <c r="AQ6" s="28" t="str">
        <f t="shared" si="0"/>
        <v>Solvarme</v>
      </c>
      <c r="AR6" s="28" t="str">
        <f t="shared" si="0"/>
        <v>Vind</v>
      </c>
      <c r="AS6" s="28" t="str">
        <f t="shared" si="0"/>
        <v>Biogas</v>
      </c>
      <c r="AT6" s="28" t="str">
        <f t="shared" si="0"/>
        <v>Samlet</v>
      </c>
      <c r="AU6" s="28" t="str">
        <f>S6</f>
        <v>ab værk</v>
      </c>
      <c r="AV6" s="28" t="str">
        <f>T6</f>
        <v>an forbruger</v>
      </c>
      <c r="AW6" s="28" t="str">
        <f>U6</f>
        <v>ab værk</v>
      </c>
      <c r="AX6" s="28" t="str">
        <f>V6</f>
        <v>an forbruger</v>
      </c>
      <c r="AY6" s="28" t="s">
        <v>84</v>
      </c>
    </row>
    <row r="7" spans="1:51" ht="12.75">
      <c r="A7" s="29"/>
      <c r="B7" s="30">
        <v>2.1</v>
      </c>
      <c r="C7" s="30"/>
      <c r="D7" s="31"/>
      <c r="E7" s="31"/>
      <c r="F7" s="31"/>
      <c r="G7" s="31"/>
      <c r="H7" s="31"/>
      <c r="I7" s="31"/>
      <c r="J7" s="31"/>
      <c r="K7" s="31"/>
      <c r="L7" s="32">
        <f>SUM(A7:K7)</f>
        <v>2.1</v>
      </c>
      <c r="M7" s="33" t="s">
        <v>33</v>
      </c>
      <c r="N7" s="34"/>
      <c r="O7" s="35"/>
      <c r="P7" s="36">
        <v>38</v>
      </c>
      <c r="Q7" s="35"/>
      <c r="R7" s="37"/>
      <c r="S7" s="38"/>
      <c r="T7" s="39"/>
      <c r="U7" s="40"/>
      <c r="V7" s="41"/>
      <c r="W7" s="38"/>
      <c r="X7" s="42"/>
      <c r="Y7" s="42"/>
      <c r="Z7" s="42">
        <f>L7*P7/100</f>
        <v>0.7979999999999999</v>
      </c>
      <c r="AA7" s="42"/>
      <c r="AB7" s="42"/>
      <c r="AC7" s="42"/>
      <c r="AD7" s="41"/>
      <c r="AE7" s="41"/>
      <c r="AF7" s="39"/>
      <c r="AI7">
        <f aca="true" t="shared" si="1" ref="AI7:AI38">IF(A7&lt;&gt;0,$AT7,"")</f>
      </c>
      <c r="AJ7">
        <f aca="true" t="shared" si="2" ref="AJ7:AJ38">IF(B7&lt;&gt;0,$AT7,"")</f>
        <v>2.1</v>
      </c>
      <c r="AK7">
        <f aca="true" t="shared" si="3" ref="AK7:AK38">IF(C7&lt;&gt;0,$AT7,"")</f>
      </c>
      <c r="AL7">
        <f aca="true" t="shared" si="4" ref="AL7:AL38">IF(D7&lt;&gt;0,$AT7,"")</f>
      </c>
      <c r="AM7">
        <f aca="true" t="shared" si="5" ref="AM7:AM38">IF(E7&lt;&gt;0,$AT7,"")</f>
      </c>
      <c r="AN7">
        <f aca="true" t="shared" si="6" ref="AN7:AN38">IF(F7&lt;&gt;0,$AT7,"")</f>
      </c>
      <c r="AO7">
        <f aca="true" t="shared" si="7" ref="AO7:AO38">IF(G7&lt;&gt;0,$AT7,"")</f>
      </c>
      <c r="AP7">
        <f aca="true" t="shared" si="8" ref="AP7:AP38">IF(H7&lt;&gt;0,$AT7,"")</f>
      </c>
      <c r="AQ7">
        <f aca="true" t="shared" si="9" ref="AQ7:AQ38">IF(I7&lt;&gt;0,$AT7,"")</f>
      </c>
      <c r="AR7">
        <f aca="true" t="shared" si="10" ref="AR7:AR38">IF(J7&lt;&gt;0,$AT7,"")</f>
      </c>
      <c r="AS7">
        <f aca="true" t="shared" si="11" ref="AS7:AS38">IF(K7&lt;&gt;0,$AT7,"")</f>
      </c>
      <c r="AT7" s="46">
        <f aca="true" t="shared" si="12" ref="AT7:AT12">IF(L7&lt;&gt;0,IF(Y7=0,L7,AY7/P7*100),"")</f>
        <v>2.1</v>
      </c>
      <c r="AV7">
        <f aca="true" t="shared" si="13" ref="AV7:AV14">IF(T7&lt;&gt;0,AY7/P7*100,"")</f>
      </c>
      <c r="AY7" s="94">
        <f aca="true" t="shared" si="14" ref="AY7:AY38">SUM(W7,Y7:AF7)</f>
        <v>0.7979999999999999</v>
      </c>
    </row>
    <row r="8" spans="1:51" ht="12.75">
      <c r="A8" s="29"/>
      <c r="B8" s="30"/>
      <c r="C8" s="30"/>
      <c r="D8" s="31"/>
      <c r="E8" s="31"/>
      <c r="F8" s="31"/>
      <c r="G8" s="31"/>
      <c r="H8" s="31"/>
      <c r="I8" s="31"/>
      <c r="J8" s="31"/>
      <c r="K8" s="31"/>
      <c r="L8" s="32"/>
      <c r="M8" s="33" t="s">
        <v>34</v>
      </c>
      <c r="N8" s="34"/>
      <c r="O8" s="35"/>
      <c r="P8" s="36">
        <v>44</v>
      </c>
      <c r="Q8" s="35">
        <v>97</v>
      </c>
      <c r="R8" s="43"/>
      <c r="S8" s="38">
        <f>T8/Q8*100*-1</f>
        <v>-5.867948453608247</v>
      </c>
      <c r="T8" s="39">
        <f>SUM(W8:AF8)/P8*100</f>
        <v>5.69191</v>
      </c>
      <c r="U8" s="40"/>
      <c r="V8" s="41"/>
      <c r="W8" s="38"/>
      <c r="X8" s="42"/>
      <c r="Y8" s="42"/>
      <c r="Z8" s="42">
        <f>Z2*15.5%*P8/100</f>
        <v>1.9973052000000002</v>
      </c>
      <c r="AA8" s="42">
        <f>AA2*15.5%*P8/100</f>
        <v>0.5071352</v>
      </c>
      <c r="AB8" s="42"/>
      <c r="AC8" s="42"/>
      <c r="AD8" s="41"/>
      <c r="AE8" s="41"/>
      <c r="AF8" s="39"/>
      <c r="AI8">
        <f t="shared" si="1"/>
      </c>
      <c r="AJ8">
        <f t="shared" si="2"/>
      </c>
      <c r="AK8">
        <f t="shared" si="3"/>
      </c>
      <c r="AL8">
        <f t="shared" si="4"/>
      </c>
      <c r="AM8">
        <f t="shared" si="5"/>
      </c>
      <c r="AN8">
        <f t="shared" si="6"/>
      </c>
      <c r="AO8">
        <f t="shared" si="7"/>
      </c>
      <c r="AP8">
        <f t="shared" si="8"/>
      </c>
      <c r="AQ8">
        <f t="shared" si="9"/>
      </c>
      <c r="AR8">
        <f t="shared" si="10"/>
      </c>
      <c r="AS8">
        <f t="shared" si="11"/>
      </c>
      <c r="AT8" s="46">
        <f t="shared" si="12"/>
      </c>
      <c r="AU8" s="94">
        <f>AV8/Q8*100*-1</f>
        <v>-5.867948453608247</v>
      </c>
      <c r="AV8" s="94">
        <f t="shared" si="13"/>
        <v>5.69191</v>
      </c>
      <c r="AY8" s="94">
        <f t="shared" si="14"/>
        <v>2.5044404</v>
      </c>
    </row>
    <row r="9" spans="1:51" ht="12.75">
      <c r="A9" s="29"/>
      <c r="B9" s="30"/>
      <c r="C9" s="30"/>
      <c r="D9" s="31"/>
      <c r="E9" s="31"/>
      <c r="F9" s="31"/>
      <c r="G9" s="31"/>
      <c r="H9" s="31"/>
      <c r="I9" s="31"/>
      <c r="J9" s="31"/>
      <c r="K9" s="31"/>
      <c r="L9" s="32"/>
      <c r="M9" s="33" t="s">
        <v>35</v>
      </c>
      <c r="N9" s="34"/>
      <c r="O9" s="35"/>
      <c r="P9" s="36">
        <v>90</v>
      </c>
      <c r="Q9" s="35">
        <v>97</v>
      </c>
      <c r="R9" s="43"/>
      <c r="S9" s="38">
        <f>T9/Q9*100*-1</f>
        <v>-0.7469072164948454</v>
      </c>
      <c r="T9" s="39">
        <f>W9/P9*100</f>
        <v>0.7245</v>
      </c>
      <c r="U9" s="40"/>
      <c r="V9" s="39"/>
      <c r="W9" s="40">
        <f>W$2*$P9/100</f>
        <v>0.65205</v>
      </c>
      <c r="X9" s="42"/>
      <c r="Y9" s="42"/>
      <c r="Z9" s="42"/>
      <c r="AA9" s="42"/>
      <c r="AB9" s="42"/>
      <c r="AC9" s="42"/>
      <c r="AD9" s="41"/>
      <c r="AE9" s="41"/>
      <c r="AF9" s="39"/>
      <c r="AI9">
        <f t="shared" si="1"/>
      </c>
      <c r="AJ9">
        <f t="shared" si="2"/>
      </c>
      <c r="AK9">
        <f t="shared" si="3"/>
      </c>
      <c r="AL9">
        <f t="shared" si="4"/>
      </c>
      <c r="AM9">
        <f t="shared" si="5"/>
      </c>
      <c r="AN9">
        <f t="shared" si="6"/>
      </c>
      <c r="AO9">
        <f t="shared" si="7"/>
      </c>
      <c r="AP9">
        <f t="shared" si="8"/>
      </c>
      <c r="AQ9">
        <f t="shared" si="9"/>
      </c>
      <c r="AR9">
        <f t="shared" si="10"/>
      </c>
      <c r="AS9">
        <f t="shared" si="11"/>
      </c>
      <c r="AT9" s="46">
        <f t="shared" si="12"/>
      </c>
      <c r="AU9" s="94">
        <f>AV9/Q9*100*-1</f>
        <v>-0.7469072164948454</v>
      </c>
      <c r="AV9" s="94">
        <f t="shared" si="13"/>
        <v>0.7245</v>
      </c>
      <c r="AY9" s="94">
        <f t="shared" si="14"/>
        <v>0.65205</v>
      </c>
    </row>
    <row r="10" spans="1:51" ht="12.75">
      <c r="A10" s="29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2"/>
      <c r="M10" s="33" t="s">
        <v>36</v>
      </c>
      <c r="N10" s="34"/>
      <c r="O10" s="35"/>
      <c r="P10" s="36">
        <v>100</v>
      </c>
      <c r="Q10" s="35">
        <v>97</v>
      </c>
      <c r="R10" s="43"/>
      <c r="S10" s="38">
        <f>T10/Q10*100*-1</f>
        <v>-3.521134020618556</v>
      </c>
      <c r="T10" s="39">
        <f>X10/P10*100</f>
        <v>3.4154999999999998</v>
      </c>
      <c r="U10" s="40"/>
      <c r="V10" s="41"/>
      <c r="W10" s="38"/>
      <c r="X10" s="40">
        <f>X$2*$P10/100</f>
        <v>3.4154999999999998</v>
      </c>
      <c r="Y10" s="42">
        <f>X10*$Y$40</f>
        <v>3.4154999999999998</v>
      </c>
      <c r="Z10" s="42"/>
      <c r="AA10" s="42"/>
      <c r="AB10" s="42"/>
      <c r="AC10" s="42"/>
      <c r="AD10" s="41"/>
      <c r="AE10" s="41"/>
      <c r="AF10" s="39"/>
      <c r="AI10">
        <f t="shared" si="1"/>
      </c>
      <c r="AJ10">
        <f t="shared" si="2"/>
      </c>
      <c r="AK10">
        <f t="shared" si="3"/>
      </c>
      <c r="AL10">
        <f t="shared" si="4"/>
      </c>
      <c r="AM10">
        <f t="shared" si="5"/>
      </c>
      <c r="AN10">
        <f t="shared" si="6"/>
      </c>
      <c r="AO10">
        <f t="shared" si="7"/>
      </c>
      <c r="AP10">
        <f t="shared" si="8"/>
      </c>
      <c r="AQ10">
        <f t="shared" si="9"/>
      </c>
      <c r="AR10">
        <f t="shared" si="10"/>
      </c>
      <c r="AS10">
        <f t="shared" si="11"/>
      </c>
      <c r="AT10" s="46">
        <f t="shared" si="12"/>
      </c>
      <c r="AU10" s="94">
        <f>AV10/Q10*100*-1</f>
        <v>-3.521134020618556</v>
      </c>
      <c r="AV10" s="94">
        <f t="shared" si="13"/>
        <v>3.4154999999999998</v>
      </c>
      <c r="AY10" s="94">
        <f t="shared" si="14"/>
        <v>3.4154999999999998</v>
      </c>
    </row>
    <row r="11" spans="1:51" ht="12.75">
      <c r="A11" s="29"/>
      <c r="B11" s="30"/>
      <c r="C11" s="30"/>
      <c r="D11" s="31"/>
      <c r="E11" s="31"/>
      <c r="F11" s="31"/>
      <c r="G11" s="31"/>
      <c r="H11" s="31"/>
      <c r="I11" s="31">
        <f>92*2*0.0036</f>
        <v>0.6624</v>
      </c>
      <c r="J11" s="31"/>
      <c r="K11" s="31"/>
      <c r="L11" s="32">
        <f>SUM(A11:K11)</f>
        <v>0.6624</v>
      </c>
      <c r="M11" s="33" t="s">
        <v>37</v>
      </c>
      <c r="N11" s="34"/>
      <c r="O11" s="35"/>
      <c r="P11" s="36">
        <v>100</v>
      </c>
      <c r="Q11" s="35"/>
      <c r="R11" s="37"/>
      <c r="S11" s="38"/>
      <c r="T11" s="39"/>
      <c r="U11" s="40"/>
      <c r="V11" s="41"/>
      <c r="W11" s="38">
        <f>L11*P11/100*0.8</f>
        <v>0.5299200000000001</v>
      </c>
      <c r="X11" s="42">
        <f>L11*P11/100*0.2</f>
        <v>0.13248000000000001</v>
      </c>
      <c r="Y11" s="42">
        <f>X11*$Y$40</f>
        <v>0.13248000000000001</v>
      </c>
      <c r="Z11" s="42"/>
      <c r="AA11" s="42"/>
      <c r="AB11" s="42"/>
      <c r="AC11" s="42"/>
      <c r="AD11" s="41"/>
      <c r="AE11" s="41"/>
      <c r="AF11" s="39"/>
      <c r="AI11">
        <f t="shared" si="1"/>
      </c>
      <c r="AJ11">
        <f t="shared" si="2"/>
      </c>
      <c r="AK11">
        <f t="shared" si="3"/>
      </c>
      <c r="AL11">
        <f t="shared" si="4"/>
      </c>
      <c r="AM11">
        <f t="shared" si="5"/>
      </c>
      <c r="AN11">
        <f t="shared" si="6"/>
      </c>
      <c r="AO11">
        <f t="shared" si="7"/>
      </c>
      <c r="AP11">
        <f t="shared" si="8"/>
      </c>
      <c r="AQ11">
        <f t="shared" si="9"/>
        <v>0.6624000000000001</v>
      </c>
      <c r="AR11">
        <f t="shared" si="10"/>
      </c>
      <c r="AS11">
        <f t="shared" si="11"/>
      </c>
      <c r="AT11" s="46">
        <f t="shared" si="12"/>
        <v>0.6624000000000001</v>
      </c>
      <c r="AV11" s="94">
        <f t="shared" si="13"/>
      </c>
      <c r="AY11" s="94">
        <f t="shared" si="14"/>
        <v>0.6624000000000001</v>
      </c>
    </row>
    <row r="12" spans="1:51" ht="12.75">
      <c r="A12" s="29"/>
      <c r="B12" s="30"/>
      <c r="C12" s="30"/>
      <c r="D12" s="31"/>
      <c r="E12" s="31"/>
      <c r="F12" s="31"/>
      <c r="G12" s="31"/>
      <c r="H12" s="31"/>
      <c r="I12" s="31"/>
      <c r="J12" s="134">
        <f>2+95+280</f>
        <v>377</v>
      </c>
      <c r="K12" s="31"/>
      <c r="L12" s="32">
        <f>SUM(A12:K12)</f>
        <v>377</v>
      </c>
      <c r="M12" s="33" t="s">
        <v>38</v>
      </c>
      <c r="N12" s="34">
        <v>100</v>
      </c>
      <c r="O12" s="35"/>
      <c r="P12" s="36"/>
      <c r="Q12" s="35"/>
      <c r="R12" s="37"/>
      <c r="S12" s="29">
        <f>L12*N12/100</f>
        <v>377</v>
      </c>
      <c r="T12" s="39"/>
      <c r="U12" s="40"/>
      <c r="V12" s="41"/>
      <c r="W12" s="38"/>
      <c r="X12" s="42"/>
      <c r="Y12" s="42"/>
      <c r="Z12" s="42"/>
      <c r="AA12" s="42"/>
      <c r="AB12" s="42"/>
      <c r="AC12" s="42"/>
      <c r="AD12" s="41"/>
      <c r="AE12" s="41"/>
      <c r="AF12" s="39"/>
      <c r="AI12">
        <f t="shared" si="1"/>
      </c>
      <c r="AJ12">
        <f t="shared" si="2"/>
      </c>
      <c r="AK12">
        <f t="shared" si="3"/>
      </c>
      <c r="AL12">
        <f t="shared" si="4"/>
      </c>
      <c r="AM12">
        <f t="shared" si="5"/>
      </c>
      <c r="AN12">
        <f t="shared" si="6"/>
      </c>
      <c r="AO12">
        <f t="shared" si="7"/>
      </c>
      <c r="AP12">
        <f t="shared" si="8"/>
      </c>
      <c r="AQ12">
        <f t="shared" si="9"/>
      </c>
      <c r="AR12">
        <f t="shared" si="10"/>
        <v>377</v>
      </c>
      <c r="AS12">
        <f t="shared" si="11"/>
      </c>
      <c r="AT12" s="46">
        <f t="shared" si="12"/>
        <v>377</v>
      </c>
      <c r="AU12">
        <f>AT12*N12/100</f>
        <v>377</v>
      </c>
      <c r="AV12" s="94">
        <f t="shared" si="13"/>
      </c>
      <c r="AY12" s="94">
        <f t="shared" si="14"/>
        <v>0</v>
      </c>
    </row>
    <row r="13" spans="1:51" ht="12.75">
      <c r="A13" s="135">
        <f>S13/N13*100</f>
        <v>-279.8762886597938</v>
      </c>
      <c r="B13" s="30"/>
      <c r="C13" s="30"/>
      <c r="D13" s="31"/>
      <c r="E13" s="31"/>
      <c r="F13" s="31"/>
      <c r="G13" s="31"/>
      <c r="H13" s="31"/>
      <c r="I13" s="31"/>
      <c r="J13" s="134"/>
      <c r="K13" s="31"/>
      <c r="L13" s="32">
        <f>SUM(A13:K13)</f>
        <v>-279.8762886597938</v>
      </c>
      <c r="M13" s="33" t="s">
        <v>39</v>
      </c>
      <c r="N13" s="34">
        <v>100</v>
      </c>
      <c r="O13" s="35"/>
      <c r="P13" s="36"/>
      <c r="Q13" s="35"/>
      <c r="R13" s="37"/>
      <c r="S13" s="29">
        <f>-SUM(S7:S12,S14:S38)</f>
        <v>-279.8762886597938</v>
      </c>
      <c r="T13" s="39"/>
      <c r="U13" s="40"/>
      <c r="V13" s="41"/>
      <c r="W13" s="38"/>
      <c r="X13" s="42"/>
      <c r="Y13" s="42"/>
      <c r="Z13" s="42"/>
      <c r="AA13" s="42"/>
      <c r="AB13" s="42"/>
      <c r="AC13" s="42"/>
      <c r="AD13" s="41"/>
      <c r="AE13" s="41"/>
      <c r="AF13" s="39"/>
      <c r="AI13">
        <f t="shared" si="1"/>
        <v>-279.8762886597938</v>
      </c>
      <c r="AJ13">
        <f t="shared" si="2"/>
      </c>
      <c r="AK13">
        <f t="shared" si="3"/>
      </c>
      <c r="AL13">
        <f t="shared" si="4"/>
      </c>
      <c r="AM13">
        <f t="shared" si="5"/>
      </c>
      <c r="AN13">
        <f t="shared" si="6"/>
      </c>
      <c r="AO13">
        <f t="shared" si="7"/>
      </c>
      <c r="AP13">
        <f t="shared" si="8"/>
      </c>
      <c r="AQ13">
        <f t="shared" si="9"/>
      </c>
      <c r="AR13">
        <f t="shared" si="10"/>
      </c>
      <c r="AS13">
        <f t="shared" si="11"/>
      </c>
      <c r="AT13" s="46">
        <f>AU13/N13*100</f>
        <v>-279.8762886597938</v>
      </c>
      <c r="AU13" s="96">
        <f>-SUM(AU7:AU12,AU14:AU38)</f>
        <v>-279.8762886597938</v>
      </c>
      <c r="AV13" s="94">
        <f t="shared" si="13"/>
      </c>
      <c r="AY13" s="94">
        <f t="shared" si="14"/>
        <v>0</v>
      </c>
    </row>
    <row r="14" spans="1:51" ht="12.75">
      <c r="A14" s="29"/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2">
        <f>SUM(A14:K14)</f>
        <v>0</v>
      </c>
      <c r="M14" s="33" t="s">
        <v>40</v>
      </c>
      <c r="N14" s="34">
        <v>100</v>
      </c>
      <c r="O14" s="35"/>
      <c r="P14" s="36"/>
      <c r="Q14" s="35"/>
      <c r="R14" s="37"/>
      <c r="S14" s="38"/>
      <c r="T14" s="39"/>
      <c r="U14" s="40"/>
      <c r="V14" s="41"/>
      <c r="W14" s="38"/>
      <c r="X14" s="42"/>
      <c r="Y14" s="42"/>
      <c r="Z14" s="42"/>
      <c r="AA14" s="42"/>
      <c r="AB14" s="42"/>
      <c r="AC14" s="42"/>
      <c r="AD14" s="42"/>
      <c r="AE14" s="42"/>
      <c r="AF14" s="39"/>
      <c r="AI14">
        <f t="shared" si="1"/>
      </c>
      <c r="AJ14">
        <f t="shared" si="2"/>
      </c>
      <c r="AK14">
        <f t="shared" si="3"/>
      </c>
      <c r="AL14">
        <f t="shared" si="4"/>
      </c>
      <c r="AM14">
        <f t="shared" si="5"/>
      </c>
      <c r="AN14">
        <f t="shared" si="6"/>
      </c>
      <c r="AO14">
        <f t="shared" si="7"/>
      </c>
      <c r="AP14">
        <f t="shared" si="8"/>
      </c>
      <c r="AQ14">
        <f t="shared" si="9"/>
      </c>
      <c r="AR14">
        <f t="shared" si="10"/>
      </c>
      <c r="AS14">
        <f t="shared" si="11"/>
      </c>
      <c r="AT14" s="46">
        <f aca="true" t="shared" si="15" ref="AT14:AT22">IF(L14&lt;&gt;0,IF(Y14=0,L14,AY14/P14*100),"")</f>
      </c>
      <c r="AV14" s="94">
        <f t="shared" si="13"/>
      </c>
      <c r="AY14" s="94">
        <f t="shared" si="14"/>
        <v>0</v>
      </c>
    </row>
    <row r="15" spans="1:51" ht="12.75">
      <c r="A15" s="29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2"/>
      <c r="M15" s="33" t="s">
        <v>41</v>
      </c>
      <c r="N15" s="34"/>
      <c r="O15" s="35">
        <v>50</v>
      </c>
      <c r="P15" s="36"/>
      <c r="Q15" s="35">
        <v>97</v>
      </c>
      <c r="R15" s="5"/>
      <c r="S15" s="38">
        <f>T15/Q15*100*-1</f>
        <v>-16.394597938144333</v>
      </c>
      <c r="T15" s="39">
        <f>SUM(W15:AF15)/O15*100</f>
        <v>15.902760000000002</v>
      </c>
      <c r="U15" s="40"/>
      <c r="V15" s="41"/>
      <c r="W15" s="38"/>
      <c r="X15" s="42"/>
      <c r="Y15" s="42"/>
      <c r="Z15" s="42">
        <f>Z$2*15.5%*$O15/100</f>
        <v>2.2696650000000003</v>
      </c>
      <c r="AA15" s="42">
        <f>AA$2*15.5%*$O15/100</f>
        <v>0.57629</v>
      </c>
      <c r="AB15" s="42">
        <f>AB$2*15%*$O15%</f>
        <v>1.397775</v>
      </c>
      <c r="AC15" s="42">
        <f>AC$2*6%*$O15%</f>
        <v>0.21837</v>
      </c>
      <c r="AD15" s="42">
        <f>AD$2*25%*$O15%</f>
        <v>1.83175</v>
      </c>
      <c r="AE15" s="42">
        <f>AE$2*27%*$O15%</f>
        <v>1.6575300000000002</v>
      </c>
      <c r="AF15" s="39"/>
      <c r="AI15">
        <f t="shared" si="1"/>
      </c>
      <c r="AJ15">
        <f t="shared" si="2"/>
      </c>
      <c r="AK15">
        <f t="shared" si="3"/>
      </c>
      <c r="AL15">
        <f t="shared" si="4"/>
      </c>
      <c r="AM15">
        <f t="shared" si="5"/>
      </c>
      <c r="AN15">
        <f t="shared" si="6"/>
      </c>
      <c r="AO15">
        <f t="shared" si="7"/>
      </c>
      <c r="AP15">
        <f t="shared" si="8"/>
      </c>
      <c r="AQ15">
        <f t="shared" si="9"/>
      </c>
      <c r="AR15">
        <f t="shared" si="10"/>
      </c>
      <c r="AS15">
        <f t="shared" si="11"/>
      </c>
      <c r="AT15" s="46">
        <f t="shared" si="15"/>
      </c>
      <c r="AU15" s="94">
        <f>AV15/Q15*100*-1</f>
        <v>-16.394597938144333</v>
      </c>
      <c r="AV15" s="94">
        <f>IF(T15&lt;&gt;0,AY15/O15*100,"")</f>
        <v>15.902760000000002</v>
      </c>
      <c r="AY15" s="94">
        <f t="shared" si="14"/>
        <v>7.951380000000001</v>
      </c>
    </row>
    <row r="16" spans="1:51" ht="12.75">
      <c r="A16" s="29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2"/>
      <c r="M16" s="33" t="s">
        <v>42</v>
      </c>
      <c r="N16" s="34"/>
      <c r="O16" s="35">
        <v>150</v>
      </c>
      <c r="P16" s="36"/>
      <c r="Q16" s="35">
        <v>97</v>
      </c>
      <c r="R16" s="43"/>
      <c r="S16" s="38">
        <f>T16/Q16*100*-1</f>
        <v>-12.334717525773197</v>
      </c>
      <c r="T16" s="39">
        <f>SUM(W16:AF16)/O16*100</f>
        <v>11.964676000000003</v>
      </c>
      <c r="U16" s="40"/>
      <c r="V16" s="41"/>
      <c r="W16" s="38"/>
      <c r="X16" s="42"/>
      <c r="Y16" s="42"/>
      <c r="Z16" s="42">
        <f>Z$2*18.3%*$O16/100</f>
        <v>8.039007000000002</v>
      </c>
      <c r="AA16" s="42">
        <f>AA$2*18.3%*$O16/100</f>
        <v>2.0411819999999996</v>
      </c>
      <c r="AB16" s="42">
        <f>AB$2*3%*$O16%</f>
        <v>0.838665</v>
      </c>
      <c r="AC16" s="42">
        <f>AC$2*8%*$O16%</f>
        <v>0.87348</v>
      </c>
      <c r="AD16" s="42">
        <f>AD$2*28%*$O16%</f>
        <v>6.154680000000001</v>
      </c>
      <c r="AE16" s="42">
        <f>AE$2*0%*$O16%</f>
        <v>0</v>
      </c>
      <c r="AF16" s="39"/>
      <c r="AI16">
        <f t="shared" si="1"/>
      </c>
      <c r="AJ16">
        <f t="shared" si="2"/>
      </c>
      <c r="AK16">
        <f t="shared" si="3"/>
      </c>
      <c r="AL16">
        <f t="shared" si="4"/>
      </c>
      <c r="AM16">
        <f t="shared" si="5"/>
      </c>
      <c r="AN16">
        <f t="shared" si="6"/>
      </c>
      <c r="AO16">
        <f t="shared" si="7"/>
      </c>
      <c r="AP16">
        <f t="shared" si="8"/>
      </c>
      <c r="AQ16">
        <f t="shared" si="9"/>
      </c>
      <c r="AR16">
        <f t="shared" si="10"/>
      </c>
      <c r="AS16">
        <f t="shared" si="11"/>
      </c>
      <c r="AT16" s="46">
        <f t="shared" si="15"/>
      </c>
      <c r="AU16" s="94">
        <f>AV16/Q16*100*-1</f>
        <v>-12.334717525773197</v>
      </c>
      <c r="AV16" s="94">
        <f>IF(T16&lt;&gt;0,AY16/O16*100,"")</f>
        <v>11.964676000000003</v>
      </c>
      <c r="AY16" s="94">
        <f t="shared" si="14"/>
        <v>17.947014000000003</v>
      </c>
    </row>
    <row r="17" spans="1:51" ht="12.75">
      <c r="A17" s="29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2"/>
      <c r="M17" s="33" t="s">
        <v>43</v>
      </c>
      <c r="N17" s="34"/>
      <c r="O17" s="35">
        <v>85</v>
      </c>
      <c r="P17" s="36"/>
      <c r="Q17" s="35">
        <v>97</v>
      </c>
      <c r="S17" s="38">
        <f>T17/Q17*100*-1</f>
        <v>-57.74294226804124</v>
      </c>
      <c r="T17" s="39">
        <f>SUM(W17:AF17)/O17*100</f>
        <v>56.010654</v>
      </c>
      <c r="U17" s="40"/>
      <c r="V17" s="41"/>
      <c r="W17" s="38"/>
      <c r="X17" s="42"/>
      <c r="Y17" s="42"/>
      <c r="Z17" s="42">
        <f>Z$2*50.7%*$O17%</f>
        <v>12.620801700000001</v>
      </c>
      <c r="AA17" s="42">
        <f>AA$2*50.7%*$O17%</f>
        <v>3.2045442</v>
      </c>
      <c r="AB17" s="42">
        <f>AB$2*82%*$O17%</f>
        <v>12.989989</v>
      </c>
      <c r="AC17" s="42">
        <f>AC$2*86%*$O17%</f>
        <v>5.320949</v>
      </c>
      <c r="AD17" s="42">
        <f>AD$2*47%*$O17%</f>
        <v>5.854272999999999</v>
      </c>
      <c r="AE17" s="42">
        <f>AE$2*73%*$O17%</f>
        <v>7.618499</v>
      </c>
      <c r="AF17" s="39"/>
      <c r="AI17">
        <f t="shared" si="1"/>
      </c>
      <c r="AJ17">
        <f t="shared" si="2"/>
      </c>
      <c r="AK17">
        <f t="shared" si="3"/>
      </c>
      <c r="AL17">
        <f t="shared" si="4"/>
      </c>
      <c r="AM17">
        <f t="shared" si="5"/>
      </c>
      <c r="AN17">
        <f t="shared" si="6"/>
      </c>
      <c r="AO17">
        <f t="shared" si="7"/>
      </c>
      <c r="AP17">
        <f t="shared" si="8"/>
      </c>
      <c r="AQ17">
        <f t="shared" si="9"/>
      </c>
      <c r="AR17">
        <f t="shared" si="10"/>
      </c>
      <c r="AS17">
        <f t="shared" si="11"/>
      </c>
      <c r="AT17" s="46">
        <f t="shared" si="15"/>
      </c>
      <c r="AU17" s="94">
        <f>AV17/Q17*100*-1</f>
        <v>-57.74294226804124</v>
      </c>
      <c r="AV17" s="94">
        <f>IF(T17&lt;&gt;0,AY17/O17*100,"")</f>
        <v>56.010654</v>
      </c>
      <c r="AY17" s="94">
        <f t="shared" si="14"/>
        <v>47.6090559</v>
      </c>
    </row>
    <row r="18" spans="1:51" ht="12.75">
      <c r="A18" s="29"/>
      <c r="B18" s="30"/>
      <c r="C18" s="30"/>
      <c r="D18" s="31"/>
      <c r="E18" s="31"/>
      <c r="F18" s="31"/>
      <c r="G18" s="31">
        <f>22</f>
        <v>22</v>
      </c>
      <c r="H18" s="31"/>
      <c r="I18" s="31"/>
      <c r="J18" s="31"/>
      <c r="K18" s="31"/>
      <c r="L18" s="32">
        <f>SUM(A18:K18)</f>
        <v>22</v>
      </c>
      <c r="M18" s="33" t="s">
        <v>44</v>
      </c>
      <c r="N18" s="34"/>
      <c r="O18" s="35"/>
      <c r="P18" s="36">
        <v>70</v>
      </c>
      <c r="Q18" s="35"/>
      <c r="R18" s="37"/>
      <c r="S18" s="38"/>
      <c r="T18" s="39"/>
      <c r="U18" s="40"/>
      <c r="V18" s="41"/>
      <c r="W18" s="38">
        <f>L18*P18/100*0.175</f>
        <v>2.695</v>
      </c>
      <c r="X18" s="42">
        <f>L18*P18/100*0.825</f>
        <v>12.705</v>
      </c>
      <c r="Y18" s="42">
        <f>X18*$Y$40</f>
        <v>12.705</v>
      </c>
      <c r="Z18" s="42"/>
      <c r="AA18" s="42"/>
      <c r="AB18" s="42"/>
      <c r="AC18" s="42"/>
      <c r="AD18" s="41"/>
      <c r="AE18" s="41"/>
      <c r="AF18" s="39"/>
      <c r="AI18">
        <f t="shared" si="1"/>
      </c>
      <c r="AJ18">
        <f t="shared" si="2"/>
      </c>
      <c r="AK18">
        <f t="shared" si="3"/>
      </c>
      <c r="AL18">
        <f t="shared" si="4"/>
      </c>
      <c r="AM18">
        <f t="shared" si="5"/>
      </c>
      <c r="AN18">
        <f t="shared" si="6"/>
      </c>
      <c r="AO18">
        <f t="shared" si="7"/>
        <v>22</v>
      </c>
      <c r="AP18">
        <f t="shared" si="8"/>
      </c>
      <c r="AQ18">
        <f t="shared" si="9"/>
      </c>
      <c r="AR18">
        <f t="shared" si="10"/>
      </c>
      <c r="AS18">
        <f t="shared" si="11"/>
      </c>
      <c r="AT18" s="46">
        <f t="shared" si="15"/>
        <v>22</v>
      </c>
      <c r="AV18" s="94">
        <f aca="true" t="shared" si="16" ref="AV18:AV38">IF(T18&lt;&gt;0,AY18/P18*100,"")</f>
      </c>
      <c r="AY18" s="94">
        <f t="shared" si="14"/>
        <v>15.4</v>
      </c>
    </row>
    <row r="19" spans="1:51" ht="12.75">
      <c r="A19" s="29"/>
      <c r="B19" s="30"/>
      <c r="C19" s="30">
        <v>85.8</v>
      </c>
      <c r="D19" s="31"/>
      <c r="E19" s="31"/>
      <c r="F19" s="31"/>
      <c r="G19" s="31"/>
      <c r="H19" s="31"/>
      <c r="I19" s="31"/>
      <c r="J19" s="31"/>
      <c r="K19" s="31"/>
      <c r="L19" s="32">
        <f>SUM(A19:K19)</f>
        <v>85.8</v>
      </c>
      <c r="M19" s="33" t="s">
        <v>45</v>
      </c>
      <c r="N19" s="34"/>
      <c r="O19" s="35"/>
      <c r="P19" s="36">
        <v>70</v>
      </c>
      <c r="Q19" s="35"/>
      <c r="R19" s="37"/>
      <c r="S19" s="38"/>
      <c r="T19" s="39"/>
      <c r="U19" s="40"/>
      <c r="V19" s="41"/>
      <c r="W19" s="38">
        <f>L19*P19/100*0.175</f>
        <v>10.5105</v>
      </c>
      <c r="X19" s="42">
        <f>L19*P19/100*0.825</f>
        <v>49.5495</v>
      </c>
      <c r="Y19" s="42">
        <f>X19*$Y$40</f>
        <v>49.5495</v>
      </c>
      <c r="Z19" s="42"/>
      <c r="AA19" s="42"/>
      <c r="AB19" s="42"/>
      <c r="AC19" s="42"/>
      <c r="AD19" s="41"/>
      <c r="AE19" s="41"/>
      <c r="AF19" s="39"/>
      <c r="AI19">
        <f t="shared" si="1"/>
      </c>
      <c r="AJ19">
        <f t="shared" si="2"/>
      </c>
      <c r="AK19">
        <f t="shared" si="3"/>
        <v>85.8</v>
      </c>
      <c r="AL19">
        <f t="shared" si="4"/>
      </c>
      <c r="AM19">
        <f t="shared" si="5"/>
      </c>
      <c r="AN19">
        <f t="shared" si="6"/>
      </c>
      <c r="AO19">
        <f t="shared" si="7"/>
      </c>
      <c r="AP19">
        <f t="shared" si="8"/>
      </c>
      <c r="AQ19">
        <f t="shared" si="9"/>
      </c>
      <c r="AR19">
        <f t="shared" si="10"/>
      </c>
      <c r="AS19">
        <f t="shared" si="11"/>
      </c>
      <c r="AT19" s="46">
        <f t="shared" si="15"/>
        <v>85.8</v>
      </c>
      <c r="AV19" s="94">
        <f t="shared" si="16"/>
      </c>
      <c r="AY19" s="94">
        <f t="shared" si="14"/>
        <v>60.06</v>
      </c>
    </row>
    <row r="20" spans="1:51" ht="12.75">
      <c r="A20" s="29"/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33" t="s">
        <v>46</v>
      </c>
      <c r="N20" s="34"/>
      <c r="O20" s="35"/>
      <c r="P20" s="36">
        <v>250</v>
      </c>
      <c r="Q20" s="35">
        <v>97</v>
      </c>
      <c r="S20" s="38">
        <f>T20/Q20*100*-1</f>
        <v>-0.5154639175257731</v>
      </c>
      <c r="T20" s="39">
        <f>T2</f>
        <v>0.5</v>
      </c>
      <c r="U20" s="40"/>
      <c r="V20" s="39"/>
      <c r="W20" s="38">
        <f>T20*P20/100*0.175</f>
        <v>0.21875</v>
      </c>
      <c r="X20" s="42">
        <f>T20*P20/100*0.825</f>
        <v>1.03125</v>
      </c>
      <c r="Y20" s="42">
        <f>X20*$Y$40</f>
        <v>1.03125</v>
      </c>
      <c r="Z20" s="42"/>
      <c r="AA20" s="42"/>
      <c r="AB20" s="42"/>
      <c r="AC20" s="42"/>
      <c r="AD20" s="41"/>
      <c r="AE20" s="41"/>
      <c r="AF20" s="39"/>
      <c r="AI20">
        <f t="shared" si="1"/>
      </c>
      <c r="AJ20">
        <f t="shared" si="2"/>
      </c>
      <c r="AK20">
        <f t="shared" si="3"/>
      </c>
      <c r="AL20">
        <f t="shared" si="4"/>
      </c>
      <c r="AM20">
        <f t="shared" si="5"/>
      </c>
      <c r="AN20">
        <f t="shared" si="6"/>
      </c>
      <c r="AO20">
        <f t="shared" si="7"/>
      </c>
      <c r="AP20">
        <f t="shared" si="8"/>
      </c>
      <c r="AQ20">
        <f t="shared" si="9"/>
      </c>
      <c r="AR20">
        <f t="shared" si="10"/>
      </c>
      <c r="AS20">
        <f t="shared" si="11"/>
      </c>
      <c r="AT20" s="46">
        <f t="shared" si="15"/>
      </c>
      <c r="AU20" s="94">
        <f>AV20/Q20*100*-1</f>
        <v>-0.5154639175257731</v>
      </c>
      <c r="AV20" s="94">
        <f t="shared" si="16"/>
        <v>0.5</v>
      </c>
      <c r="AY20" s="94">
        <f t="shared" si="14"/>
        <v>1.25</v>
      </c>
    </row>
    <row r="21" spans="1:51" ht="12.75">
      <c r="A21" s="29"/>
      <c r="B21" s="30"/>
      <c r="C21" s="30"/>
      <c r="D21" s="31"/>
      <c r="E21" s="31"/>
      <c r="F21" s="31">
        <f>5.5</f>
        <v>5.5</v>
      </c>
      <c r="G21" s="31"/>
      <c r="H21" s="31"/>
      <c r="I21" s="31"/>
      <c r="J21" s="31"/>
      <c r="K21" s="31"/>
      <c r="L21" s="32">
        <f>SUM(A21:K21)</f>
        <v>5.5</v>
      </c>
      <c r="M21" s="33" t="s">
        <v>47</v>
      </c>
      <c r="N21" s="34"/>
      <c r="O21" s="35"/>
      <c r="P21" s="36">
        <v>60</v>
      </c>
      <c r="Q21" s="35"/>
      <c r="R21" s="37"/>
      <c r="S21" s="38"/>
      <c r="T21" s="39"/>
      <c r="U21" s="40"/>
      <c r="V21" s="41"/>
      <c r="W21" s="38">
        <f>L21*P21/100*0.175</f>
        <v>0.5774999999999999</v>
      </c>
      <c r="X21" s="42">
        <f>L21*P21/100*0.825</f>
        <v>2.7224999999999997</v>
      </c>
      <c r="Y21" s="42">
        <f>X21*$Y$40</f>
        <v>2.7224999999999997</v>
      </c>
      <c r="Z21" s="42"/>
      <c r="AA21" s="42"/>
      <c r="AB21" s="42"/>
      <c r="AC21" s="42"/>
      <c r="AD21" s="41"/>
      <c r="AE21" s="41"/>
      <c r="AF21" s="39"/>
      <c r="AI21">
        <f t="shared" si="1"/>
      </c>
      <c r="AJ21">
        <f t="shared" si="2"/>
      </c>
      <c r="AK21">
        <f t="shared" si="3"/>
      </c>
      <c r="AL21">
        <f t="shared" si="4"/>
      </c>
      <c r="AM21">
        <f t="shared" si="5"/>
      </c>
      <c r="AN21">
        <f t="shared" si="6"/>
        <v>5.5</v>
      </c>
      <c r="AO21">
        <f t="shared" si="7"/>
      </c>
      <c r="AP21">
        <f t="shared" si="8"/>
      </c>
      <c r="AQ21">
        <f t="shared" si="9"/>
      </c>
      <c r="AR21">
        <f t="shared" si="10"/>
      </c>
      <c r="AS21">
        <f t="shared" si="11"/>
      </c>
      <c r="AT21" s="46">
        <f t="shared" si="15"/>
        <v>5.5</v>
      </c>
      <c r="AV21" s="94">
        <f t="shared" si="16"/>
      </c>
      <c r="AY21" s="94">
        <f t="shared" si="14"/>
        <v>3.3</v>
      </c>
    </row>
    <row r="22" spans="1:51" ht="12.75">
      <c r="A22" s="29"/>
      <c r="B22" s="30"/>
      <c r="C22" s="30"/>
      <c r="D22" s="31"/>
      <c r="E22" s="31"/>
      <c r="F22" s="31"/>
      <c r="G22" s="31"/>
      <c r="H22" s="31">
        <f>5.5</f>
        <v>5.5</v>
      </c>
      <c r="I22" s="31"/>
      <c r="J22" s="31"/>
      <c r="K22" s="31"/>
      <c r="L22" s="32">
        <f>SUM(A22:K22)</f>
        <v>5.5</v>
      </c>
      <c r="M22" s="33" t="s">
        <v>48</v>
      </c>
      <c r="N22" s="34"/>
      <c r="O22" s="35"/>
      <c r="P22" s="36">
        <v>60</v>
      </c>
      <c r="Q22" s="35"/>
      <c r="R22" s="37"/>
      <c r="S22" s="38"/>
      <c r="T22" s="39"/>
      <c r="U22" s="40"/>
      <c r="V22" s="41"/>
      <c r="W22" s="38">
        <f>L22*P22/100*0.175</f>
        <v>0.5774999999999999</v>
      </c>
      <c r="X22" s="42">
        <f>L22*P22/100*0.825</f>
        <v>2.7224999999999997</v>
      </c>
      <c r="Y22" s="42">
        <f>X22*$Y$40</f>
        <v>2.7224999999999997</v>
      </c>
      <c r="Z22" s="42"/>
      <c r="AA22" s="42"/>
      <c r="AB22" s="42"/>
      <c r="AC22" s="42"/>
      <c r="AD22" s="41"/>
      <c r="AE22" s="41"/>
      <c r="AF22" s="39"/>
      <c r="AI22">
        <f t="shared" si="1"/>
      </c>
      <c r="AJ22">
        <f t="shared" si="2"/>
      </c>
      <c r="AK22">
        <f t="shared" si="3"/>
      </c>
      <c r="AL22">
        <f t="shared" si="4"/>
      </c>
      <c r="AM22">
        <f t="shared" si="5"/>
      </c>
      <c r="AN22">
        <f t="shared" si="6"/>
      </c>
      <c r="AO22">
        <f t="shared" si="7"/>
      </c>
      <c r="AP22">
        <f t="shared" si="8"/>
        <v>5.5</v>
      </c>
      <c r="AQ22">
        <f t="shared" si="9"/>
      </c>
      <c r="AR22">
        <f t="shared" si="10"/>
      </c>
      <c r="AS22">
        <f t="shared" si="11"/>
      </c>
      <c r="AT22" s="46">
        <f t="shared" si="15"/>
        <v>5.5</v>
      </c>
      <c r="AV22" s="94">
        <f t="shared" si="16"/>
      </c>
      <c r="AY22" s="94">
        <f t="shared" si="14"/>
        <v>3.3</v>
      </c>
    </row>
    <row r="23" spans="1:51" ht="12.75">
      <c r="A23" s="44"/>
      <c r="B23" s="45"/>
      <c r="C23" s="46"/>
      <c r="D23" s="47"/>
      <c r="E23" s="47"/>
      <c r="F23" s="45">
        <f>11643*0.0036*0.98/0.84</f>
        <v>48.900600000000004</v>
      </c>
      <c r="G23" s="47"/>
      <c r="H23" s="47"/>
      <c r="I23" s="47"/>
      <c r="J23" s="47"/>
      <c r="K23" s="47"/>
      <c r="L23" s="32">
        <f>SUM(A23:K23)</f>
        <v>48.900600000000004</v>
      </c>
      <c r="M23" s="48" t="s">
        <v>49</v>
      </c>
      <c r="N23" s="49"/>
      <c r="O23" s="50"/>
      <c r="P23" s="51">
        <v>84</v>
      </c>
      <c r="Q23" s="50"/>
      <c r="R23" s="52"/>
      <c r="S23" s="53"/>
      <c r="T23" s="54"/>
      <c r="U23" s="55">
        <f>L23*P23/100</f>
        <v>41.07650400000001</v>
      </c>
      <c r="V23" s="56"/>
      <c r="W23" s="53"/>
      <c r="X23" s="57"/>
      <c r="Y23" s="57"/>
      <c r="Z23" s="57"/>
      <c r="AA23" s="57"/>
      <c r="AB23" s="57"/>
      <c r="AC23" s="57"/>
      <c r="AD23" s="56"/>
      <c r="AE23" s="56"/>
      <c r="AF23" s="54"/>
      <c r="AI23">
        <f t="shared" si="1"/>
      </c>
      <c r="AJ23">
        <f t="shared" si="2"/>
      </c>
      <c r="AK23">
        <f t="shared" si="3"/>
      </c>
      <c r="AL23">
        <f t="shared" si="4"/>
      </c>
      <c r="AM23">
        <f t="shared" si="5"/>
      </c>
      <c r="AN23">
        <f t="shared" si="6"/>
        <v>48.90060000000002</v>
      </c>
      <c r="AO23">
        <f t="shared" si="7"/>
      </c>
      <c r="AP23">
        <f t="shared" si="8"/>
      </c>
      <c r="AQ23">
        <f t="shared" si="9"/>
      </c>
      <c r="AR23">
        <f t="shared" si="10"/>
      </c>
      <c r="AS23">
        <f t="shared" si="11"/>
      </c>
      <c r="AT23">
        <f>AW23/P23*100</f>
        <v>48.90060000000002</v>
      </c>
      <c r="AV23" s="94">
        <f t="shared" si="16"/>
      </c>
      <c r="AW23">
        <f>AW25-AW24</f>
        <v>41.076504000000014</v>
      </c>
      <c r="AY23" s="94">
        <f t="shared" si="14"/>
        <v>0</v>
      </c>
    </row>
    <row r="24" spans="1:51" ht="12.75">
      <c r="A24" s="44"/>
      <c r="B24" s="45"/>
      <c r="C24" s="45">
        <f>11643*0.02/0.95*0.0036</f>
        <v>0.8824168421052632</v>
      </c>
      <c r="D24" s="47"/>
      <c r="E24" s="47"/>
      <c r="F24" s="47"/>
      <c r="G24" s="47"/>
      <c r="H24" s="47"/>
      <c r="I24" s="47"/>
      <c r="J24" s="47"/>
      <c r="K24" s="47"/>
      <c r="L24" s="32">
        <f>SUM(A24:K24)</f>
        <v>0.8824168421052632</v>
      </c>
      <c r="M24" s="48" t="s">
        <v>50</v>
      </c>
      <c r="N24" s="49"/>
      <c r="O24" s="50"/>
      <c r="P24" s="51">
        <v>95</v>
      </c>
      <c r="Q24" s="50"/>
      <c r="R24" s="52"/>
      <c r="S24" s="53"/>
      <c r="T24" s="54"/>
      <c r="U24" s="55">
        <f>L24*P24/100</f>
        <v>0.838296</v>
      </c>
      <c r="V24" s="56"/>
      <c r="W24" s="53"/>
      <c r="X24" s="57"/>
      <c r="Y24" s="57"/>
      <c r="Z24" s="57"/>
      <c r="AA24" s="57"/>
      <c r="AB24" s="57"/>
      <c r="AC24" s="57"/>
      <c r="AD24" s="56"/>
      <c r="AE24" s="56"/>
      <c r="AF24" s="54"/>
      <c r="AI24">
        <f t="shared" si="1"/>
      </c>
      <c r="AJ24">
        <f t="shared" si="2"/>
      </c>
      <c r="AK24">
        <f t="shared" si="3"/>
        <v>0.8824168421052634</v>
      </c>
      <c r="AL24">
        <f t="shared" si="4"/>
      </c>
      <c r="AM24">
        <f t="shared" si="5"/>
      </c>
      <c r="AN24">
        <f t="shared" si="6"/>
      </c>
      <c r="AO24">
        <f t="shared" si="7"/>
      </c>
      <c r="AP24">
        <f t="shared" si="8"/>
      </c>
      <c r="AQ24">
        <f t="shared" si="9"/>
      </c>
      <c r="AR24">
        <f t="shared" si="10"/>
      </c>
      <c r="AS24">
        <f t="shared" si="11"/>
      </c>
      <c r="AT24">
        <f>AW24/P24*100</f>
        <v>0.8824168421052634</v>
      </c>
      <c r="AV24" s="94">
        <f t="shared" si="16"/>
      </c>
      <c r="AW24">
        <f>AW25*0.02</f>
        <v>0.8382960000000003</v>
      </c>
      <c r="AY24" s="94">
        <f t="shared" si="14"/>
        <v>0</v>
      </c>
    </row>
    <row r="25" spans="1:51" ht="12.75">
      <c r="A25" s="44"/>
      <c r="B25" s="45"/>
      <c r="C25" s="45"/>
      <c r="D25" s="47"/>
      <c r="E25" s="47"/>
      <c r="F25" s="47"/>
      <c r="G25" s="47"/>
      <c r="H25" s="47"/>
      <c r="I25" s="47"/>
      <c r="J25" s="47"/>
      <c r="K25" s="47"/>
      <c r="L25" s="32"/>
      <c r="M25" s="48" t="s">
        <v>51</v>
      </c>
      <c r="N25" s="49"/>
      <c r="O25" s="50"/>
      <c r="P25" s="51"/>
      <c r="Q25" s="35"/>
      <c r="R25" s="50">
        <v>80</v>
      </c>
      <c r="S25" s="53"/>
      <c r="T25" s="54"/>
      <c r="U25" s="55">
        <f>-V25/(R25/100)</f>
        <v>-41.91480000000001</v>
      </c>
      <c r="V25" s="56">
        <f>SUM(U23:U24)*R25/100</f>
        <v>33.53184000000001</v>
      </c>
      <c r="W25" s="53">
        <f>V25*0.175</f>
        <v>5.8680720000000015</v>
      </c>
      <c r="X25" s="57">
        <f>V25-W25</f>
        <v>27.663768000000008</v>
      </c>
      <c r="Y25" s="42">
        <f>X25*$Y$40</f>
        <v>27.663768000000008</v>
      </c>
      <c r="Z25" s="57"/>
      <c r="AA25" s="57"/>
      <c r="AB25" s="57"/>
      <c r="AC25" s="57"/>
      <c r="AD25" s="56"/>
      <c r="AE25" s="56"/>
      <c r="AF25" s="54"/>
      <c r="AI25">
        <f t="shared" si="1"/>
      </c>
      <c r="AJ25">
        <f t="shared" si="2"/>
      </c>
      <c r="AK25">
        <f t="shared" si="3"/>
      </c>
      <c r="AL25">
        <f t="shared" si="4"/>
      </c>
      <c r="AM25">
        <f t="shared" si="5"/>
      </c>
      <c r="AN25">
        <f t="shared" si="6"/>
      </c>
      <c r="AO25">
        <f t="shared" si="7"/>
      </c>
      <c r="AP25">
        <f t="shared" si="8"/>
      </c>
      <c r="AQ25">
        <f t="shared" si="9"/>
      </c>
      <c r="AR25">
        <f t="shared" si="10"/>
      </c>
      <c r="AS25">
        <f t="shared" si="11"/>
      </c>
      <c r="AV25" s="94">
        <f t="shared" si="16"/>
      </c>
      <c r="AW25">
        <f>AX25/R25*100</f>
        <v>41.914800000000014</v>
      </c>
      <c r="AX25" s="46">
        <f>AY25</f>
        <v>33.53184000000001</v>
      </c>
      <c r="AY25" s="94">
        <f t="shared" si="14"/>
        <v>33.53184000000001</v>
      </c>
    </row>
    <row r="26" spans="1:51" ht="12.75">
      <c r="A26" s="44"/>
      <c r="B26" s="45"/>
      <c r="C26" s="45"/>
      <c r="D26" s="47"/>
      <c r="E26" s="47"/>
      <c r="F26" s="47"/>
      <c r="G26" s="47"/>
      <c r="H26" s="47"/>
      <c r="I26" s="47">
        <v>3.6</v>
      </c>
      <c r="J26" s="47"/>
      <c r="K26" s="47"/>
      <c r="L26" s="32">
        <f>SUM(A26:K26)</f>
        <v>3.6</v>
      </c>
      <c r="M26" s="48" t="s">
        <v>52</v>
      </c>
      <c r="N26" s="49"/>
      <c r="O26" s="50"/>
      <c r="P26" s="51">
        <v>100</v>
      </c>
      <c r="Q26" s="50"/>
      <c r="R26" s="52"/>
      <c r="S26" s="53"/>
      <c r="T26" s="54"/>
      <c r="U26" s="55">
        <f>L26*P26/100</f>
        <v>3.6</v>
      </c>
      <c r="V26" s="56"/>
      <c r="W26" s="53"/>
      <c r="X26" s="57"/>
      <c r="Y26" s="57"/>
      <c r="Z26" s="57"/>
      <c r="AA26" s="57"/>
      <c r="AB26" s="57"/>
      <c r="AC26" s="57"/>
      <c r="AD26" s="56"/>
      <c r="AE26" s="56"/>
      <c r="AF26" s="54"/>
      <c r="AI26">
        <f t="shared" si="1"/>
      </c>
      <c r="AJ26">
        <f t="shared" si="2"/>
      </c>
      <c r="AK26">
        <f t="shared" si="3"/>
      </c>
      <c r="AL26">
        <f t="shared" si="4"/>
      </c>
      <c r="AM26">
        <f t="shared" si="5"/>
      </c>
      <c r="AN26">
        <f t="shared" si="6"/>
      </c>
      <c r="AO26">
        <f t="shared" si="7"/>
      </c>
      <c r="AP26">
        <f t="shared" si="8"/>
      </c>
      <c r="AQ26">
        <f t="shared" si="9"/>
        <v>3.6</v>
      </c>
      <c r="AR26">
        <f t="shared" si="10"/>
      </c>
      <c r="AS26">
        <f t="shared" si="11"/>
      </c>
      <c r="AT26" s="46">
        <f aca="true" t="shared" si="17" ref="AT26:AT32">IF(L26&lt;&gt;0,IF(Y26=0,L26,AY26/P26*100),"")</f>
        <v>3.6</v>
      </c>
      <c r="AV26" s="94">
        <f t="shared" si="16"/>
      </c>
      <c r="AY26" s="94">
        <f t="shared" si="14"/>
        <v>0</v>
      </c>
    </row>
    <row r="27" spans="1:51" ht="12.75">
      <c r="A27" s="44"/>
      <c r="B27" s="45"/>
      <c r="C27" s="45"/>
      <c r="D27" s="47"/>
      <c r="E27" s="47"/>
      <c r="F27" s="47"/>
      <c r="G27" s="47"/>
      <c r="H27" s="47">
        <v>10.6</v>
      </c>
      <c r="I27" s="47"/>
      <c r="J27" s="47"/>
      <c r="K27" s="47"/>
      <c r="L27" s="32">
        <f>SUM(A27:K27)</f>
        <v>10.6</v>
      </c>
      <c r="M27" s="48" t="s">
        <v>53</v>
      </c>
      <c r="N27" s="49"/>
      <c r="O27" s="50"/>
      <c r="P27" s="51">
        <v>100</v>
      </c>
      <c r="Q27" s="50"/>
      <c r="R27" s="52"/>
      <c r="S27" s="53"/>
      <c r="T27" s="54"/>
      <c r="U27" s="55">
        <f>L27*P27/100</f>
        <v>10.6</v>
      </c>
      <c r="V27" s="56"/>
      <c r="W27" s="53"/>
      <c r="X27" s="57"/>
      <c r="Y27" s="57"/>
      <c r="Z27" s="57"/>
      <c r="AA27" s="57"/>
      <c r="AB27" s="57"/>
      <c r="AC27" s="57"/>
      <c r="AD27" s="56"/>
      <c r="AE27" s="56"/>
      <c r="AF27" s="54"/>
      <c r="AI27">
        <f t="shared" si="1"/>
      </c>
      <c r="AJ27">
        <f t="shared" si="2"/>
      </c>
      <c r="AK27">
        <f t="shared" si="3"/>
      </c>
      <c r="AL27">
        <f t="shared" si="4"/>
      </c>
      <c r="AM27">
        <f t="shared" si="5"/>
      </c>
      <c r="AN27">
        <f t="shared" si="6"/>
      </c>
      <c r="AO27">
        <f t="shared" si="7"/>
      </c>
      <c r="AP27">
        <f t="shared" si="8"/>
        <v>10.6</v>
      </c>
      <c r="AQ27">
        <f t="shared" si="9"/>
      </c>
      <c r="AR27">
        <f t="shared" si="10"/>
      </c>
      <c r="AS27">
        <f t="shared" si="11"/>
      </c>
      <c r="AT27" s="46">
        <f t="shared" si="17"/>
        <v>10.6</v>
      </c>
      <c r="AV27" s="94">
        <f t="shared" si="16"/>
      </c>
      <c r="AY27" s="94">
        <f t="shared" si="14"/>
        <v>0</v>
      </c>
    </row>
    <row r="28" spans="1:51" ht="12.75">
      <c r="A28" s="44"/>
      <c r="B28" s="45"/>
      <c r="C28" s="45">
        <v>0.32</v>
      </c>
      <c r="D28" s="47"/>
      <c r="E28" s="47"/>
      <c r="F28" s="47"/>
      <c r="G28" s="47"/>
      <c r="H28" s="47"/>
      <c r="I28" s="47"/>
      <c r="J28" s="47"/>
      <c r="K28" s="47"/>
      <c r="L28" s="32">
        <f>SUM(A28:K28)</f>
        <v>0.32</v>
      </c>
      <c r="M28" s="48" t="s">
        <v>54</v>
      </c>
      <c r="N28" s="49"/>
      <c r="O28" s="50"/>
      <c r="P28" s="51">
        <v>90</v>
      </c>
      <c r="Q28" s="50"/>
      <c r="R28" s="52"/>
      <c r="S28" s="53"/>
      <c r="T28" s="54"/>
      <c r="U28" s="55">
        <f>L28*P28/100</f>
        <v>0.28800000000000003</v>
      </c>
      <c r="V28" s="56"/>
      <c r="W28" s="53"/>
      <c r="X28" s="57"/>
      <c r="Y28" s="57"/>
      <c r="Z28" s="57"/>
      <c r="AA28" s="57"/>
      <c r="AB28" s="57"/>
      <c r="AC28" s="57"/>
      <c r="AD28" s="56"/>
      <c r="AE28" s="56"/>
      <c r="AF28" s="54"/>
      <c r="AI28">
        <f t="shared" si="1"/>
      </c>
      <c r="AJ28">
        <f t="shared" si="2"/>
      </c>
      <c r="AK28">
        <f t="shared" si="3"/>
        <v>0.32</v>
      </c>
      <c r="AL28">
        <f t="shared" si="4"/>
      </c>
      <c r="AM28">
        <f t="shared" si="5"/>
      </c>
      <c r="AN28">
        <f t="shared" si="6"/>
      </c>
      <c r="AO28">
        <f t="shared" si="7"/>
      </c>
      <c r="AP28">
        <f t="shared" si="8"/>
      </c>
      <c r="AQ28">
        <f t="shared" si="9"/>
      </c>
      <c r="AR28">
        <f t="shared" si="10"/>
      </c>
      <c r="AS28">
        <f t="shared" si="11"/>
      </c>
      <c r="AT28" s="46">
        <f t="shared" si="17"/>
        <v>0.32</v>
      </c>
      <c r="AV28" s="94">
        <f t="shared" si="16"/>
      </c>
      <c r="AY28" s="94">
        <f t="shared" si="14"/>
        <v>0</v>
      </c>
    </row>
    <row r="29" spans="1:51" ht="12.75">
      <c r="A29" s="44"/>
      <c r="B29" s="45"/>
      <c r="C29" s="45"/>
      <c r="D29" s="47"/>
      <c r="E29" s="47"/>
      <c r="F29" s="47"/>
      <c r="G29" s="47"/>
      <c r="H29" s="47"/>
      <c r="I29" s="47"/>
      <c r="J29" s="47"/>
      <c r="K29" s="47"/>
      <c r="L29" s="32"/>
      <c r="M29" s="48" t="s">
        <v>55</v>
      </c>
      <c r="N29" s="49"/>
      <c r="O29" s="50"/>
      <c r="P29" s="51"/>
      <c r="Q29" s="50"/>
      <c r="R29" s="52">
        <v>70</v>
      </c>
      <c r="S29" s="53"/>
      <c r="T29" s="54"/>
      <c r="U29" s="55">
        <f>-SUM(U26:U28)</f>
        <v>-14.488</v>
      </c>
      <c r="V29" s="56">
        <f>-U29*R29/100</f>
        <v>10.1416</v>
      </c>
      <c r="W29" s="53">
        <f>V29*0.175</f>
        <v>1.77478</v>
      </c>
      <c r="X29" s="57">
        <f>V29-W29</f>
        <v>8.36682</v>
      </c>
      <c r="Y29" s="42">
        <f>X29*$Y$40</f>
        <v>8.36682</v>
      </c>
      <c r="Z29" s="57"/>
      <c r="AA29" s="57"/>
      <c r="AB29" s="57"/>
      <c r="AC29" s="57"/>
      <c r="AD29" s="56"/>
      <c r="AE29" s="56"/>
      <c r="AF29" s="54"/>
      <c r="AI29">
        <f t="shared" si="1"/>
      </c>
      <c r="AJ29">
        <f t="shared" si="2"/>
      </c>
      <c r="AK29">
        <f t="shared" si="3"/>
      </c>
      <c r="AL29">
        <f t="shared" si="4"/>
      </c>
      <c r="AM29">
        <f t="shared" si="5"/>
      </c>
      <c r="AN29">
        <f t="shared" si="6"/>
      </c>
      <c r="AO29">
        <f t="shared" si="7"/>
      </c>
      <c r="AP29">
        <f t="shared" si="8"/>
      </c>
      <c r="AQ29">
        <f t="shared" si="9"/>
      </c>
      <c r="AR29">
        <f t="shared" si="10"/>
      </c>
      <c r="AS29">
        <f t="shared" si="11"/>
      </c>
      <c r="AT29" s="46">
        <f t="shared" si="17"/>
      </c>
      <c r="AV29" s="94">
        <f t="shared" si="16"/>
      </c>
      <c r="AY29" s="94">
        <f t="shared" si="14"/>
        <v>10.1416</v>
      </c>
    </row>
    <row r="30" spans="1:51" ht="12.75">
      <c r="A30" s="44"/>
      <c r="B30" s="45"/>
      <c r="C30" s="45"/>
      <c r="D30" s="47"/>
      <c r="E30" s="47"/>
      <c r="F30" s="47">
        <v>8.3</v>
      </c>
      <c r="G30" s="47"/>
      <c r="H30" s="47"/>
      <c r="I30" s="47"/>
      <c r="J30" s="47"/>
      <c r="K30" s="47"/>
      <c r="L30" s="32">
        <f>SUM(A30:K30)</f>
        <v>8.3</v>
      </c>
      <c r="M30" s="48" t="s">
        <v>56</v>
      </c>
      <c r="N30" s="49"/>
      <c r="O30" s="50"/>
      <c r="P30" s="51">
        <v>88</v>
      </c>
      <c r="Q30" s="50"/>
      <c r="R30" s="52"/>
      <c r="S30" s="53"/>
      <c r="T30" s="54"/>
      <c r="U30" s="55">
        <f>L30*P30/100</f>
        <v>7.304000000000001</v>
      </c>
      <c r="V30" s="56"/>
      <c r="W30" s="53"/>
      <c r="X30" s="57"/>
      <c r="Y30" s="57"/>
      <c r="Z30" s="57"/>
      <c r="AA30" s="57"/>
      <c r="AB30" s="57"/>
      <c r="AC30" s="57"/>
      <c r="AD30" s="56"/>
      <c r="AE30" s="56"/>
      <c r="AF30" s="54"/>
      <c r="AI30">
        <f t="shared" si="1"/>
      </c>
      <c r="AJ30">
        <f t="shared" si="2"/>
      </c>
      <c r="AK30">
        <f t="shared" si="3"/>
      </c>
      <c r="AL30">
        <f t="shared" si="4"/>
      </c>
      <c r="AM30">
        <f t="shared" si="5"/>
      </c>
      <c r="AN30">
        <f t="shared" si="6"/>
        <v>8.3</v>
      </c>
      <c r="AO30">
        <f t="shared" si="7"/>
      </c>
      <c r="AP30">
        <f t="shared" si="8"/>
      </c>
      <c r="AQ30">
        <f t="shared" si="9"/>
      </c>
      <c r="AR30">
        <f t="shared" si="10"/>
      </c>
      <c r="AS30">
        <f t="shared" si="11"/>
      </c>
      <c r="AT30" s="46">
        <f t="shared" si="17"/>
        <v>8.3</v>
      </c>
      <c r="AV30" s="94">
        <f t="shared" si="16"/>
      </c>
      <c r="AY30" s="94">
        <f t="shared" si="14"/>
        <v>0</v>
      </c>
    </row>
    <row r="31" spans="1:51" ht="12.75">
      <c r="A31" s="44"/>
      <c r="B31" s="45"/>
      <c r="C31" s="45">
        <v>0.1</v>
      </c>
      <c r="D31" s="47"/>
      <c r="E31" s="47"/>
      <c r="F31" s="47"/>
      <c r="G31" s="47"/>
      <c r="H31" s="47"/>
      <c r="I31" s="47"/>
      <c r="J31" s="47"/>
      <c r="K31" s="47"/>
      <c r="L31" s="32">
        <f>SUM(A31:K31)</f>
        <v>0.1</v>
      </c>
      <c r="M31" s="48" t="s">
        <v>57</v>
      </c>
      <c r="N31" s="49"/>
      <c r="O31" s="50"/>
      <c r="P31" s="51">
        <v>90</v>
      </c>
      <c r="Q31" s="50"/>
      <c r="R31" s="52"/>
      <c r="S31" s="53"/>
      <c r="T31" s="54"/>
      <c r="U31" s="55">
        <f>L31*P31/100</f>
        <v>0.09</v>
      </c>
      <c r="V31" s="56"/>
      <c r="W31" s="53"/>
      <c r="X31" s="57"/>
      <c r="Y31" s="57"/>
      <c r="Z31" s="57"/>
      <c r="AA31" s="57"/>
      <c r="AB31" s="57"/>
      <c r="AC31" s="57"/>
      <c r="AD31" s="56"/>
      <c r="AE31" s="56"/>
      <c r="AF31" s="54"/>
      <c r="AI31">
        <f t="shared" si="1"/>
      </c>
      <c r="AJ31">
        <f t="shared" si="2"/>
      </c>
      <c r="AK31">
        <f t="shared" si="3"/>
        <v>0.1</v>
      </c>
      <c r="AL31">
        <f t="shared" si="4"/>
      </c>
      <c r="AM31">
        <f t="shared" si="5"/>
      </c>
      <c r="AN31">
        <f t="shared" si="6"/>
      </c>
      <c r="AO31">
        <f t="shared" si="7"/>
      </c>
      <c r="AP31">
        <f t="shared" si="8"/>
      </c>
      <c r="AQ31">
        <f t="shared" si="9"/>
      </c>
      <c r="AR31">
        <f t="shared" si="10"/>
      </c>
      <c r="AS31">
        <f t="shared" si="11"/>
      </c>
      <c r="AT31" s="46">
        <f t="shared" si="17"/>
        <v>0.1</v>
      </c>
      <c r="AV31" s="94">
        <f t="shared" si="16"/>
      </c>
      <c r="AY31" s="94">
        <f t="shared" si="14"/>
        <v>0</v>
      </c>
    </row>
    <row r="32" spans="1:51" ht="12.75">
      <c r="A32" s="44"/>
      <c r="B32" s="45"/>
      <c r="C32" s="45"/>
      <c r="D32" s="47"/>
      <c r="E32" s="47"/>
      <c r="F32" s="47"/>
      <c r="G32" s="47"/>
      <c r="H32" s="47"/>
      <c r="I32" s="47"/>
      <c r="J32" s="47"/>
      <c r="K32" s="47"/>
      <c r="L32" s="32"/>
      <c r="M32" s="48" t="s">
        <v>58</v>
      </c>
      <c r="N32" s="49"/>
      <c r="O32" s="50"/>
      <c r="P32" s="51"/>
      <c r="Q32" s="50"/>
      <c r="R32" s="52">
        <v>75</v>
      </c>
      <c r="S32" s="53"/>
      <c r="T32" s="54"/>
      <c r="U32" s="55">
        <f>-SUM(U30:U31)</f>
        <v>-7.394000000000001</v>
      </c>
      <c r="V32" s="56">
        <f>-U32*R32/100</f>
        <v>5.5455000000000005</v>
      </c>
      <c r="W32" s="53">
        <f>V32*0.175</f>
        <v>0.9704625</v>
      </c>
      <c r="X32" s="57">
        <f>V32-W32</f>
        <v>4.5750375000000005</v>
      </c>
      <c r="Y32" s="42">
        <f>X32*$Y$40</f>
        <v>4.5750375000000005</v>
      </c>
      <c r="Z32" s="57"/>
      <c r="AA32" s="57"/>
      <c r="AB32" s="57"/>
      <c r="AC32" s="57"/>
      <c r="AD32" s="56"/>
      <c r="AE32" s="56"/>
      <c r="AF32" s="54"/>
      <c r="AI32">
        <f t="shared" si="1"/>
      </c>
      <c r="AJ32">
        <f t="shared" si="2"/>
      </c>
      <c r="AK32">
        <f t="shared" si="3"/>
      </c>
      <c r="AL32">
        <f t="shared" si="4"/>
      </c>
      <c r="AM32">
        <f t="shared" si="5"/>
      </c>
      <c r="AN32">
        <f t="shared" si="6"/>
      </c>
      <c r="AO32">
        <f t="shared" si="7"/>
      </c>
      <c r="AP32">
        <f t="shared" si="8"/>
      </c>
      <c r="AQ32">
        <f t="shared" si="9"/>
      </c>
      <c r="AR32">
        <f t="shared" si="10"/>
      </c>
      <c r="AS32">
        <f t="shared" si="11"/>
      </c>
      <c r="AT32" s="46">
        <f t="shared" si="17"/>
      </c>
      <c r="AV32" s="94">
        <f t="shared" si="16"/>
      </c>
      <c r="AY32" s="94">
        <f t="shared" si="14"/>
        <v>5.5455000000000005</v>
      </c>
    </row>
    <row r="33" spans="1:51" ht="12.75">
      <c r="A33" s="44"/>
      <c r="B33" s="45"/>
      <c r="C33" s="45"/>
      <c r="D33" s="47"/>
      <c r="E33" s="47">
        <v>33</v>
      </c>
      <c r="F33" s="47"/>
      <c r="G33" s="47"/>
      <c r="H33" s="47"/>
      <c r="I33" s="47"/>
      <c r="J33" s="47"/>
      <c r="K33" s="47"/>
      <c r="L33" s="32">
        <f aca="true" t="shared" si="18" ref="L33:L38">SUM(A33:K33)</f>
        <v>33</v>
      </c>
      <c r="M33" s="48" t="s">
        <v>59</v>
      </c>
      <c r="N33" s="49"/>
      <c r="O33" s="50">
        <v>20</v>
      </c>
      <c r="P33" s="51"/>
      <c r="Q33" s="50"/>
      <c r="R33" s="52"/>
      <c r="S33" s="53"/>
      <c r="T33" s="54"/>
      <c r="U33" s="55"/>
      <c r="V33" s="56"/>
      <c r="W33" s="53"/>
      <c r="X33" s="57"/>
      <c r="Y33" s="57"/>
      <c r="Z33" s="57"/>
      <c r="AA33" s="57"/>
      <c r="AB33" s="57"/>
      <c r="AC33" s="57"/>
      <c r="AD33" s="56"/>
      <c r="AE33" s="56"/>
      <c r="AF33" s="54">
        <f aca="true" t="shared" si="19" ref="AF33:AF38">L33*O33/100</f>
        <v>6.6</v>
      </c>
      <c r="AI33">
        <f t="shared" si="1"/>
      </c>
      <c r="AJ33">
        <f t="shared" si="2"/>
      </c>
      <c r="AK33">
        <f t="shared" si="3"/>
      </c>
      <c r="AL33">
        <f t="shared" si="4"/>
      </c>
      <c r="AM33">
        <f t="shared" si="5"/>
        <v>33</v>
      </c>
      <c r="AN33">
        <f t="shared" si="6"/>
      </c>
      <c r="AO33">
        <f t="shared" si="7"/>
      </c>
      <c r="AP33">
        <f t="shared" si="8"/>
      </c>
      <c r="AQ33">
        <f t="shared" si="9"/>
      </c>
      <c r="AR33">
        <f t="shared" si="10"/>
      </c>
      <c r="AS33">
        <f t="shared" si="11"/>
      </c>
      <c r="AT33" s="46">
        <f aca="true" t="shared" si="20" ref="AT33:AT38">IF(L33&lt;&gt;0,IF(Y33=0,L33,AY33/O33*100),"")</f>
        <v>33</v>
      </c>
      <c r="AV33" s="94">
        <f t="shared" si="16"/>
      </c>
      <c r="AY33" s="94">
        <f t="shared" si="14"/>
        <v>6.6</v>
      </c>
    </row>
    <row r="34" spans="1:51" ht="12.75">
      <c r="A34" s="44"/>
      <c r="B34" s="45"/>
      <c r="C34" s="45"/>
      <c r="D34" s="47">
        <f>63/65.1*16</f>
        <v>15.483870967741938</v>
      </c>
      <c r="E34" s="47"/>
      <c r="F34" s="47"/>
      <c r="G34" s="47"/>
      <c r="H34" s="47"/>
      <c r="I34" s="47"/>
      <c r="J34" s="47"/>
      <c r="K34" s="47"/>
      <c r="L34" s="32">
        <f t="shared" si="18"/>
        <v>15.483870967741938</v>
      </c>
      <c r="M34" s="48" t="s">
        <v>60</v>
      </c>
      <c r="N34" s="49"/>
      <c r="O34" s="50">
        <v>25</v>
      </c>
      <c r="P34" s="51"/>
      <c r="Q34" s="50"/>
      <c r="R34" s="52"/>
      <c r="S34" s="53"/>
      <c r="T34" s="54"/>
      <c r="U34" s="55"/>
      <c r="V34" s="56"/>
      <c r="W34" s="53"/>
      <c r="X34" s="57"/>
      <c r="Y34" s="57"/>
      <c r="Z34" s="57"/>
      <c r="AA34" s="57"/>
      <c r="AB34" s="57"/>
      <c r="AC34" s="57"/>
      <c r="AD34" s="56"/>
      <c r="AE34" s="56"/>
      <c r="AF34" s="54">
        <f t="shared" si="19"/>
        <v>3.870967741935485</v>
      </c>
      <c r="AI34">
        <f t="shared" si="1"/>
      </c>
      <c r="AJ34">
        <f t="shared" si="2"/>
      </c>
      <c r="AK34">
        <f t="shared" si="3"/>
      </c>
      <c r="AL34">
        <f t="shared" si="4"/>
        <v>15.483870967741938</v>
      </c>
      <c r="AM34">
        <f t="shared" si="5"/>
      </c>
      <c r="AN34">
        <f t="shared" si="6"/>
      </c>
      <c r="AO34">
        <f t="shared" si="7"/>
      </c>
      <c r="AP34">
        <f t="shared" si="8"/>
      </c>
      <c r="AQ34">
        <f t="shared" si="9"/>
      </c>
      <c r="AR34">
        <f t="shared" si="10"/>
      </c>
      <c r="AS34">
        <f t="shared" si="11"/>
      </c>
      <c r="AT34" s="46">
        <f t="shared" si="20"/>
        <v>15.483870967741938</v>
      </c>
      <c r="AV34" s="94">
        <f t="shared" si="16"/>
      </c>
      <c r="AY34" s="94">
        <f t="shared" si="14"/>
        <v>3.870967741935485</v>
      </c>
    </row>
    <row r="35" spans="1:51" ht="12.75">
      <c r="A35" s="44"/>
      <c r="B35" s="45"/>
      <c r="C35" s="45"/>
      <c r="D35" s="47">
        <f>63/65.1*3.2</f>
        <v>3.096774193548388</v>
      </c>
      <c r="E35" s="47"/>
      <c r="F35" s="47"/>
      <c r="G35" s="47"/>
      <c r="H35" s="47"/>
      <c r="I35" s="47"/>
      <c r="J35" s="47"/>
      <c r="K35" s="47"/>
      <c r="L35" s="32">
        <f t="shared" si="18"/>
        <v>3.096774193548388</v>
      </c>
      <c r="M35" s="48" t="s">
        <v>61</v>
      </c>
      <c r="N35" s="49"/>
      <c r="O35" s="50">
        <v>33</v>
      </c>
      <c r="P35" s="51"/>
      <c r="Q35" s="50"/>
      <c r="R35" s="52"/>
      <c r="S35" s="53"/>
      <c r="T35" s="54"/>
      <c r="U35" s="55"/>
      <c r="V35" s="56"/>
      <c r="W35" s="53"/>
      <c r="X35" s="57"/>
      <c r="Y35" s="57"/>
      <c r="Z35" s="57"/>
      <c r="AA35" s="57"/>
      <c r="AB35" s="57"/>
      <c r="AC35" s="57"/>
      <c r="AD35" s="56"/>
      <c r="AE35" s="56"/>
      <c r="AF35" s="54">
        <f t="shared" si="19"/>
        <v>1.021935483870968</v>
      </c>
      <c r="AI35">
        <f t="shared" si="1"/>
      </c>
      <c r="AJ35">
        <f t="shared" si="2"/>
      </c>
      <c r="AK35">
        <f t="shared" si="3"/>
      </c>
      <c r="AL35">
        <f t="shared" si="4"/>
        <v>3.096774193548388</v>
      </c>
      <c r="AM35">
        <f t="shared" si="5"/>
      </c>
      <c r="AN35">
        <f t="shared" si="6"/>
      </c>
      <c r="AO35">
        <f t="shared" si="7"/>
      </c>
      <c r="AP35">
        <f t="shared" si="8"/>
      </c>
      <c r="AQ35">
        <f t="shared" si="9"/>
      </c>
      <c r="AR35">
        <f t="shared" si="10"/>
      </c>
      <c r="AS35">
        <f t="shared" si="11"/>
      </c>
      <c r="AT35" s="46">
        <f t="shared" si="20"/>
        <v>3.096774193548388</v>
      </c>
      <c r="AV35" s="94">
        <f t="shared" si="16"/>
      </c>
      <c r="AY35" s="94">
        <f t="shared" si="14"/>
        <v>1.021935483870968</v>
      </c>
    </row>
    <row r="36" spans="1:51" ht="12.75">
      <c r="A36" s="44"/>
      <c r="B36" s="45"/>
      <c r="C36" s="45"/>
      <c r="D36" s="47">
        <f>63/65.1*20.3</f>
        <v>19.645161290322584</v>
      </c>
      <c r="E36" s="47"/>
      <c r="F36" s="47"/>
      <c r="G36" s="47"/>
      <c r="H36" s="47"/>
      <c r="I36" s="47"/>
      <c r="J36" s="47"/>
      <c r="K36" s="47"/>
      <c r="L36" s="32">
        <f t="shared" si="18"/>
        <v>19.645161290322584</v>
      </c>
      <c r="M36" s="48" t="s">
        <v>62</v>
      </c>
      <c r="N36" s="49"/>
      <c r="O36" s="50">
        <v>33</v>
      </c>
      <c r="P36" s="51"/>
      <c r="Q36" s="50"/>
      <c r="R36" s="52"/>
      <c r="S36" s="53"/>
      <c r="T36" s="54"/>
      <c r="U36" s="55"/>
      <c r="V36" s="56"/>
      <c r="W36" s="53"/>
      <c r="X36" s="57"/>
      <c r="Y36" s="57"/>
      <c r="Z36" s="57"/>
      <c r="AA36" s="57"/>
      <c r="AB36" s="57"/>
      <c r="AC36" s="57"/>
      <c r="AD36" s="56"/>
      <c r="AE36" s="56"/>
      <c r="AF36" s="54">
        <f t="shared" si="19"/>
        <v>6.482903225806452</v>
      </c>
      <c r="AI36">
        <f t="shared" si="1"/>
      </c>
      <c r="AJ36">
        <f t="shared" si="2"/>
      </c>
      <c r="AK36">
        <f t="shared" si="3"/>
      </c>
      <c r="AL36">
        <f t="shared" si="4"/>
        <v>19.645161290322584</v>
      </c>
      <c r="AM36">
        <f t="shared" si="5"/>
      </c>
      <c r="AN36">
        <f t="shared" si="6"/>
      </c>
      <c r="AO36">
        <f t="shared" si="7"/>
      </c>
      <c r="AP36">
        <f t="shared" si="8"/>
      </c>
      <c r="AQ36">
        <f t="shared" si="9"/>
      </c>
      <c r="AR36">
        <f t="shared" si="10"/>
      </c>
      <c r="AS36">
        <f t="shared" si="11"/>
      </c>
      <c r="AT36" s="46">
        <f t="shared" si="20"/>
        <v>19.645161290322584</v>
      </c>
      <c r="AV36" s="94">
        <f t="shared" si="16"/>
      </c>
      <c r="AY36" s="94">
        <f t="shared" si="14"/>
        <v>6.482903225806452</v>
      </c>
    </row>
    <row r="37" spans="1:51" ht="12.75">
      <c r="A37" s="44"/>
      <c r="B37" s="45"/>
      <c r="C37" s="45"/>
      <c r="D37" s="47">
        <f>63/65.1*25.6</f>
        <v>24.774193548387103</v>
      </c>
      <c r="E37" s="47"/>
      <c r="F37" s="47"/>
      <c r="G37" s="47"/>
      <c r="H37" s="47"/>
      <c r="I37" s="47"/>
      <c r="J37" s="47"/>
      <c r="K37" s="47"/>
      <c r="L37" s="32">
        <f t="shared" si="18"/>
        <v>24.774193548387103</v>
      </c>
      <c r="M37" s="48" t="s">
        <v>63</v>
      </c>
      <c r="N37" s="49"/>
      <c r="O37" s="50">
        <v>33</v>
      </c>
      <c r="P37" s="51"/>
      <c r="Q37" s="50"/>
      <c r="R37" s="52"/>
      <c r="S37" s="53"/>
      <c r="T37" s="54"/>
      <c r="U37" s="55"/>
      <c r="V37" s="56"/>
      <c r="W37" s="53"/>
      <c r="X37" s="57"/>
      <c r="Y37" s="57"/>
      <c r="Z37" s="57"/>
      <c r="AA37" s="57"/>
      <c r="AB37" s="57"/>
      <c r="AC37" s="57"/>
      <c r="AD37" s="56"/>
      <c r="AE37" s="56"/>
      <c r="AF37" s="54">
        <f t="shared" si="19"/>
        <v>8.175483870967744</v>
      </c>
      <c r="AI37">
        <f t="shared" si="1"/>
      </c>
      <c r="AJ37">
        <f t="shared" si="2"/>
      </c>
      <c r="AK37">
        <f t="shared" si="3"/>
      </c>
      <c r="AL37">
        <f t="shared" si="4"/>
        <v>24.774193548387103</v>
      </c>
      <c r="AM37">
        <f t="shared" si="5"/>
      </c>
      <c r="AN37">
        <f t="shared" si="6"/>
      </c>
      <c r="AO37">
        <f t="shared" si="7"/>
      </c>
      <c r="AP37">
        <f t="shared" si="8"/>
      </c>
      <c r="AQ37">
        <f t="shared" si="9"/>
      </c>
      <c r="AR37">
        <f t="shared" si="10"/>
      </c>
      <c r="AS37">
        <f t="shared" si="11"/>
      </c>
      <c r="AT37" s="46">
        <f t="shared" si="20"/>
        <v>24.774193548387103</v>
      </c>
      <c r="AV37" s="94">
        <f t="shared" si="16"/>
      </c>
      <c r="AY37" s="94">
        <f t="shared" si="14"/>
        <v>8.175483870967744</v>
      </c>
    </row>
    <row r="38" spans="1:51" ht="13.5" thickBot="1">
      <c r="A38" s="44"/>
      <c r="B38" s="45"/>
      <c r="C38" s="45"/>
      <c r="D38" s="47">
        <v>93</v>
      </c>
      <c r="E38" s="47"/>
      <c r="F38" s="47"/>
      <c r="G38" s="47"/>
      <c r="H38" s="47"/>
      <c r="I38" s="47"/>
      <c r="J38" s="47"/>
      <c r="K38" s="47"/>
      <c r="L38" s="58">
        <f t="shared" si="18"/>
        <v>93</v>
      </c>
      <c r="M38" s="48" t="s">
        <v>64</v>
      </c>
      <c r="N38" s="49"/>
      <c r="O38" s="50">
        <v>38</v>
      </c>
      <c r="P38" s="51"/>
      <c r="Q38" s="50"/>
      <c r="R38" s="52"/>
      <c r="S38" s="53"/>
      <c r="T38" s="54"/>
      <c r="U38" s="55"/>
      <c r="V38" s="56"/>
      <c r="W38" s="53"/>
      <c r="X38" s="57"/>
      <c r="Y38" s="57"/>
      <c r="Z38" s="57"/>
      <c r="AA38" s="57"/>
      <c r="AB38" s="57"/>
      <c r="AC38" s="57"/>
      <c r="AD38" s="56"/>
      <c r="AE38" s="56"/>
      <c r="AF38" s="54">
        <f t="shared" si="19"/>
        <v>35.34</v>
      </c>
      <c r="AI38">
        <f t="shared" si="1"/>
      </c>
      <c r="AJ38">
        <f t="shared" si="2"/>
      </c>
      <c r="AK38">
        <f t="shared" si="3"/>
      </c>
      <c r="AL38">
        <f t="shared" si="4"/>
        <v>93</v>
      </c>
      <c r="AM38">
        <f t="shared" si="5"/>
      </c>
      <c r="AN38">
        <f t="shared" si="6"/>
      </c>
      <c r="AO38">
        <f t="shared" si="7"/>
      </c>
      <c r="AP38">
        <f t="shared" si="8"/>
      </c>
      <c r="AQ38">
        <f t="shared" si="9"/>
      </c>
      <c r="AR38">
        <f t="shared" si="10"/>
      </c>
      <c r="AS38">
        <f t="shared" si="11"/>
      </c>
      <c r="AT38" s="46">
        <f t="shared" si="20"/>
        <v>93</v>
      </c>
      <c r="AV38" s="94">
        <f t="shared" si="16"/>
      </c>
      <c r="AY38" s="94">
        <f t="shared" si="14"/>
        <v>35.34</v>
      </c>
    </row>
    <row r="39" spans="1:51" ht="13.5" thickBot="1">
      <c r="A39" s="136">
        <f aca="true" t="shared" si="21" ref="A39:L39">SUM(A7:A38)</f>
        <v>-279.8762886597938</v>
      </c>
      <c r="B39" s="60">
        <f t="shared" si="21"/>
        <v>2.1</v>
      </c>
      <c r="C39" s="60">
        <f t="shared" si="21"/>
        <v>87.10241684210524</v>
      </c>
      <c r="D39" s="60">
        <f t="shared" si="21"/>
        <v>156</v>
      </c>
      <c r="E39" s="60">
        <f t="shared" si="21"/>
        <v>33</v>
      </c>
      <c r="F39" s="60">
        <f t="shared" si="21"/>
        <v>62.70060000000001</v>
      </c>
      <c r="G39" s="60">
        <f t="shared" si="21"/>
        <v>22</v>
      </c>
      <c r="H39" s="60">
        <f t="shared" si="21"/>
        <v>16.1</v>
      </c>
      <c r="I39" s="60">
        <f t="shared" si="21"/>
        <v>4.2624</v>
      </c>
      <c r="J39" s="137">
        <f t="shared" si="21"/>
        <v>377</v>
      </c>
      <c r="K39" s="60">
        <f t="shared" si="21"/>
        <v>0</v>
      </c>
      <c r="L39" s="61">
        <f t="shared" si="21"/>
        <v>480.38912818231165</v>
      </c>
      <c r="M39" s="62" t="s">
        <v>22</v>
      </c>
      <c r="N39" s="60"/>
      <c r="O39" s="63"/>
      <c r="P39" s="61"/>
      <c r="Q39" s="63"/>
      <c r="R39" s="64"/>
      <c r="S39" s="59">
        <f aca="true" t="shared" si="22" ref="S39:AF39">SUM(S7:S38)</f>
        <v>2.6645352591003757E-14</v>
      </c>
      <c r="T39" s="65">
        <f t="shared" si="22"/>
        <v>94.21000000000001</v>
      </c>
      <c r="U39" s="60">
        <f t="shared" si="22"/>
        <v>0</v>
      </c>
      <c r="V39" s="61">
        <f t="shared" si="22"/>
        <v>49.21894000000002</v>
      </c>
      <c r="W39" s="59">
        <f t="shared" si="22"/>
        <v>24.374534500000003</v>
      </c>
      <c r="X39" s="63">
        <f t="shared" si="22"/>
        <v>112.8843555</v>
      </c>
      <c r="Y39" s="63">
        <f t="shared" si="22"/>
        <v>112.8843555</v>
      </c>
      <c r="Z39" s="63">
        <f t="shared" si="22"/>
        <v>25.724778900000004</v>
      </c>
      <c r="AA39" s="63">
        <f t="shared" si="22"/>
        <v>6.3291514</v>
      </c>
      <c r="AB39" s="63">
        <f t="shared" si="22"/>
        <v>15.226429</v>
      </c>
      <c r="AC39" s="63">
        <f t="shared" si="22"/>
        <v>6.412799</v>
      </c>
      <c r="AD39" s="61">
        <f t="shared" si="22"/>
        <v>13.840703</v>
      </c>
      <c r="AE39" s="61">
        <f t="shared" si="22"/>
        <v>9.276029</v>
      </c>
      <c r="AF39" s="65">
        <f t="shared" si="22"/>
        <v>61.49129032258065</v>
      </c>
      <c r="AI39" s="46">
        <f aca="true" t="shared" si="23" ref="AI39:AV39">SUM(AI7:AI38)</f>
        <v>-279.8762886597938</v>
      </c>
      <c r="AJ39" s="46">
        <f t="shared" si="23"/>
        <v>2.1</v>
      </c>
      <c r="AK39" s="46">
        <f t="shared" si="23"/>
        <v>87.10241684210524</v>
      </c>
      <c r="AL39" s="46">
        <f t="shared" si="23"/>
        <v>156</v>
      </c>
      <c r="AM39" s="46">
        <f t="shared" si="23"/>
        <v>33</v>
      </c>
      <c r="AN39" s="46">
        <f t="shared" si="23"/>
        <v>62.70060000000002</v>
      </c>
      <c r="AO39" s="46">
        <f t="shared" si="23"/>
        <v>22</v>
      </c>
      <c r="AP39" s="46">
        <f t="shared" si="23"/>
        <v>16.1</v>
      </c>
      <c r="AQ39" s="46">
        <f t="shared" si="23"/>
        <v>4.2624</v>
      </c>
      <c r="AR39" s="46">
        <f t="shared" si="23"/>
        <v>377</v>
      </c>
      <c r="AS39" s="46">
        <f t="shared" si="23"/>
        <v>0</v>
      </c>
      <c r="AT39" s="46">
        <f t="shared" si="23"/>
        <v>480.38912818231165</v>
      </c>
      <c r="AU39" s="46">
        <f t="shared" si="23"/>
        <v>2.6645352591003757E-14</v>
      </c>
      <c r="AV39" s="46">
        <f t="shared" si="23"/>
        <v>94.21000000000001</v>
      </c>
      <c r="AY39" s="94"/>
    </row>
    <row r="40" spans="1:46" ht="12.75">
      <c r="A40" s="66">
        <f aca="true" t="shared" si="24" ref="A40:K40">A$39*A48/1000</f>
        <v>-39.74243298969071</v>
      </c>
      <c r="B40" s="67">
        <f t="shared" si="24"/>
        <v>0.14385</v>
      </c>
      <c r="C40" s="67">
        <f t="shared" si="24"/>
        <v>6.4455788463157875</v>
      </c>
      <c r="D40" s="67">
        <f t="shared" si="24"/>
        <v>11.544</v>
      </c>
      <c r="E40" s="67">
        <f t="shared" si="24"/>
        <v>2.409</v>
      </c>
      <c r="F40" s="67">
        <f t="shared" si="24"/>
        <v>0</v>
      </c>
      <c r="G40" s="67">
        <f t="shared" si="24"/>
        <v>0</v>
      </c>
      <c r="H40" s="67">
        <f t="shared" si="24"/>
        <v>0</v>
      </c>
      <c r="I40" s="67">
        <f t="shared" si="24"/>
        <v>0</v>
      </c>
      <c r="J40" s="67">
        <f t="shared" si="24"/>
        <v>0</v>
      </c>
      <c r="K40" s="67">
        <f t="shared" si="24"/>
        <v>0</v>
      </c>
      <c r="L40" s="67">
        <f>SUM(A40:K40)</f>
        <v>-19.200004143374922</v>
      </c>
      <c r="M40" s="68" t="s">
        <v>65</v>
      </c>
      <c r="N40" s="69"/>
      <c r="O40" s="97">
        <f>L40*1000/$I$1</f>
        <v>-4.520839214357175</v>
      </c>
      <c r="P40" s="83" t="s">
        <v>71</v>
      </c>
      <c r="Q40" s="83"/>
      <c r="R40" s="83"/>
      <c r="S40" s="97">
        <f>AT40*1000/$I$1</f>
        <v>-4.520839214357175</v>
      </c>
      <c r="T40" s="83" t="str">
        <f>P40&amp;", graddagskorrigeret"</f>
        <v>tons/indbygger, graddagskorrigeret</v>
      </c>
      <c r="U40" s="83"/>
      <c r="V40" s="83"/>
      <c r="W40" s="83"/>
      <c r="X40" s="69"/>
      <c r="Y40" s="95">
        <f>3112/3112</f>
        <v>1</v>
      </c>
      <c r="Z40" s="2"/>
      <c r="AA40" s="2"/>
      <c r="AB40" s="2"/>
      <c r="AC40" s="2"/>
      <c r="AI40">
        <f aca="true" t="shared" si="25" ref="AI40:AS40">AI$39*A48/1000</f>
        <v>-39.74243298969071</v>
      </c>
      <c r="AJ40">
        <f t="shared" si="25"/>
        <v>0.14385</v>
      </c>
      <c r="AK40">
        <f t="shared" si="25"/>
        <v>6.4455788463157875</v>
      </c>
      <c r="AL40">
        <f t="shared" si="25"/>
        <v>11.544</v>
      </c>
      <c r="AM40">
        <f t="shared" si="25"/>
        <v>2.409</v>
      </c>
      <c r="AN40">
        <f t="shared" si="25"/>
        <v>0</v>
      </c>
      <c r="AO40">
        <f t="shared" si="25"/>
        <v>0</v>
      </c>
      <c r="AP40">
        <f t="shared" si="25"/>
        <v>0</v>
      </c>
      <c r="AQ40">
        <f t="shared" si="25"/>
        <v>0</v>
      </c>
      <c r="AR40">
        <f t="shared" si="25"/>
        <v>0</v>
      </c>
      <c r="AS40">
        <f t="shared" si="25"/>
        <v>0</v>
      </c>
      <c r="AT40">
        <f>SUM(AI40:AS40)</f>
        <v>-19.200004143374922</v>
      </c>
    </row>
    <row r="41" spans="1:46" ht="12.75">
      <c r="A41" s="29">
        <f aca="true" t="shared" si="26" ref="A41:K41">A$39*A49</f>
        <v>-8.396288659793813</v>
      </c>
      <c r="B41" s="31">
        <f t="shared" si="26"/>
        <v>0</v>
      </c>
      <c r="C41" s="31">
        <f t="shared" si="26"/>
        <v>8.187627183157893</v>
      </c>
      <c r="D41" s="31">
        <f t="shared" si="26"/>
        <v>14.664</v>
      </c>
      <c r="E41" s="31">
        <f t="shared" si="26"/>
        <v>0.726</v>
      </c>
      <c r="F41" s="31">
        <f t="shared" si="26"/>
        <v>8.151078000000002</v>
      </c>
      <c r="G41" s="31">
        <f t="shared" si="26"/>
        <v>0.32999999999999996</v>
      </c>
      <c r="H41" s="31">
        <f t="shared" si="26"/>
        <v>0.24150000000000002</v>
      </c>
      <c r="I41" s="31">
        <f t="shared" si="26"/>
        <v>0</v>
      </c>
      <c r="J41" s="31">
        <f t="shared" si="26"/>
        <v>0</v>
      </c>
      <c r="K41" s="31">
        <f t="shared" si="26"/>
        <v>0</v>
      </c>
      <c r="L41" s="31">
        <f>SUM(A41:K41)</f>
        <v>23.903916523364078</v>
      </c>
      <c r="M41" s="36" t="s">
        <v>66</v>
      </c>
      <c r="N41" s="70"/>
      <c r="O41" s="98">
        <f>L41*1000/$I$1</f>
        <v>5.62842395181636</v>
      </c>
      <c r="P41" s="37" t="s">
        <v>72</v>
      </c>
      <c r="Q41" s="37"/>
      <c r="R41" s="37"/>
      <c r="S41" s="98">
        <f>AT41*1000/$I$1</f>
        <v>5.62842395181636</v>
      </c>
      <c r="T41" s="37" t="str">
        <f>P41&amp;", graddagskorrigeret"</f>
        <v>kg/indbygger, graddagskorrigeret</v>
      </c>
      <c r="U41" s="37"/>
      <c r="V41" s="37"/>
      <c r="W41" s="37"/>
      <c r="X41" s="70"/>
      <c r="AI41">
        <f aca="true" t="shared" si="27" ref="AI41:AS42">AI$39*A49</f>
        <v>-8.396288659793813</v>
      </c>
      <c r="AJ41">
        <f t="shared" si="27"/>
        <v>0</v>
      </c>
      <c r="AK41">
        <f t="shared" si="27"/>
        <v>8.187627183157893</v>
      </c>
      <c r="AL41">
        <f t="shared" si="27"/>
        <v>14.664</v>
      </c>
      <c r="AM41">
        <f t="shared" si="27"/>
        <v>0.726</v>
      </c>
      <c r="AN41">
        <f t="shared" si="27"/>
        <v>8.151078000000004</v>
      </c>
      <c r="AO41">
        <f t="shared" si="27"/>
        <v>0.32999999999999996</v>
      </c>
      <c r="AP41">
        <f t="shared" si="27"/>
        <v>0.24150000000000002</v>
      </c>
      <c r="AQ41">
        <f t="shared" si="27"/>
        <v>0</v>
      </c>
      <c r="AR41">
        <f t="shared" si="27"/>
        <v>0</v>
      </c>
      <c r="AS41">
        <f t="shared" si="27"/>
        <v>0</v>
      </c>
      <c r="AT41">
        <f>SUM(AI41:AS41)</f>
        <v>23.903916523364078</v>
      </c>
    </row>
    <row r="42" spans="1:46" ht="13.5" thickBot="1">
      <c r="A42" s="29">
        <f aca="true" t="shared" si="28" ref="A42:K42">A$39*A50</f>
        <v>-78.36536082474227</v>
      </c>
      <c r="B42" s="31">
        <f t="shared" si="28"/>
        <v>0.21000000000000002</v>
      </c>
      <c r="C42" s="31">
        <f t="shared" si="28"/>
        <v>8.710241684210525</v>
      </c>
      <c r="D42" s="31">
        <f t="shared" si="28"/>
        <v>237.12</v>
      </c>
      <c r="E42" s="31">
        <f t="shared" si="28"/>
        <v>24.09</v>
      </c>
      <c r="F42" s="31">
        <f t="shared" si="28"/>
        <v>5.643054</v>
      </c>
      <c r="G42" s="31">
        <f t="shared" si="28"/>
        <v>1.98</v>
      </c>
      <c r="H42" s="31">
        <f t="shared" si="28"/>
        <v>1.449</v>
      </c>
      <c r="I42" s="31">
        <f t="shared" si="28"/>
        <v>0</v>
      </c>
      <c r="J42" s="31">
        <f t="shared" si="28"/>
        <v>0</v>
      </c>
      <c r="K42" s="31">
        <f t="shared" si="28"/>
        <v>0</v>
      </c>
      <c r="L42" s="31">
        <f>SUM(A42:K42)</f>
        <v>200.83693485946827</v>
      </c>
      <c r="M42" s="36" t="s">
        <v>89</v>
      </c>
      <c r="N42" s="70"/>
      <c r="O42" s="99">
        <f>L42*1000/$I$1</f>
        <v>47.28912994100972</v>
      </c>
      <c r="P42" s="88" t="s">
        <v>72</v>
      </c>
      <c r="Q42" s="88"/>
      <c r="R42" s="88"/>
      <c r="S42" s="99">
        <f>AT42*1000/$I$1</f>
        <v>47.28912994100972</v>
      </c>
      <c r="T42" s="88" t="str">
        <f>P42&amp;", graddagskorrigeret"</f>
        <v>kg/indbygger, graddagskorrigeret</v>
      </c>
      <c r="U42" s="88"/>
      <c r="V42" s="88"/>
      <c r="W42" s="88"/>
      <c r="X42" s="74"/>
      <c r="AI42">
        <f t="shared" si="27"/>
        <v>-78.36536082474227</v>
      </c>
      <c r="AJ42">
        <f t="shared" si="27"/>
        <v>0.21000000000000002</v>
      </c>
      <c r="AK42">
        <f t="shared" si="27"/>
        <v>8.710241684210525</v>
      </c>
      <c r="AL42">
        <f t="shared" si="27"/>
        <v>237.12</v>
      </c>
      <c r="AM42">
        <f t="shared" si="27"/>
        <v>24.09</v>
      </c>
      <c r="AN42">
        <f t="shared" si="27"/>
        <v>5.643054000000002</v>
      </c>
      <c r="AO42">
        <f t="shared" si="27"/>
        <v>1.98</v>
      </c>
      <c r="AP42">
        <f t="shared" si="27"/>
        <v>1.449</v>
      </c>
      <c r="AQ42">
        <f t="shared" si="27"/>
        <v>0</v>
      </c>
      <c r="AR42">
        <f t="shared" si="27"/>
        <v>0</v>
      </c>
      <c r="AS42">
        <f t="shared" si="27"/>
        <v>0</v>
      </c>
      <c r="AT42" s="46">
        <f>SUM(AI42:AS42)</f>
        <v>200.83693485946827</v>
      </c>
    </row>
    <row r="43" spans="1:24" ht="13.5" hidden="1" thickBot="1">
      <c r="A43" s="71" t="e">
        <f>A$39*#REF!</f>
        <v>#REF!</v>
      </c>
      <c r="B43" s="72" t="e">
        <f>B$39*#REF!</f>
        <v>#REF!</v>
      </c>
      <c r="C43" s="72" t="e">
        <f>C$39*#REF!</f>
        <v>#REF!</v>
      </c>
      <c r="D43" s="72" t="e">
        <f>D$39*#REF!</f>
        <v>#REF!</v>
      </c>
      <c r="E43" s="72" t="e">
        <f>E$39*#REF!</f>
        <v>#REF!</v>
      </c>
      <c r="F43" s="72" t="e">
        <f>F$39*#REF!</f>
        <v>#REF!</v>
      </c>
      <c r="G43" s="72" t="e">
        <f>G$39*#REF!</f>
        <v>#REF!</v>
      </c>
      <c r="H43" s="72" t="e">
        <f>H$39*#REF!</f>
        <v>#REF!</v>
      </c>
      <c r="I43" s="72" t="e">
        <f>I$39*#REF!</f>
        <v>#REF!</v>
      </c>
      <c r="J43" s="72" t="e">
        <f>J$39*#REF!</f>
        <v>#REF!</v>
      </c>
      <c r="K43" s="72" t="e">
        <f>K$39*#REF!</f>
        <v>#REF!</v>
      </c>
      <c r="L43" s="72" t="e">
        <f>SUM(A43:K43)</f>
        <v>#REF!</v>
      </c>
      <c r="M43" s="73" t="s">
        <v>67</v>
      </c>
      <c r="N43" s="74"/>
      <c r="S43" s="14"/>
      <c r="T43" s="18" t="str">
        <f>P43&amp;", graddagskorrigeret"</f>
        <v>, graddagskorrigeret</v>
      </c>
      <c r="U43" s="18"/>
      <c r="V43" s="18"/>
      <c r="W43" s="18"/>
      <c r="X43" s="20"/>
    </row>
    <row r="44" spans="1:24" ht="12.75">
      <c r="A44" s="66"/>
      <c r="B44" s="67"/>
      <c r="C44" s="67"/>
      <c r="D44" s="67"/>
      <c r="E44" s="67"/>
      <c r="F44" s="67">
        <v>117.4</v>
      </c>
      <c r="G44" s="67"/>
      <c r="H44" s="67">
        <v>9.8</v>
      </c>
      <c r="I44" s="67"/>
      <c r="J44" s="67"/>
      <c r="K44" s="67">
        <v>145.1</v>
      </c>
      <c r="L44" s="67">
        <f>SUM(A44:K44)</f>
        <v>272.3</v>
      </c>
      <c r="M44" s="68" t="s">
        <v>68</v>
      </c>
      <c r="N44" s="69"/>
      <c r="O44" s="101">
        <f>SUM(F39:K39)/L39</f>
        <v>1.0034844082005392</v>
      </c>
      <c r="P44" s="2" t="s">
        <v>73</v>
      </c>
      <c r="Q44" s="2"/>
      <c r="R44" s="2"/>
      <c r="S44" s="101">
        <f>SUM(AN39:AS39)/AT39</f>
        <v>1.0034844082005394</v>
      </c>
      <c r="T44" s="2" t="str">
        <f>P44&amp;", graddagskorrigeret"</f>
        <v>Vedvarende , graddagskorrigeret</v>
      </c>
      <c r="U44" s="2"/>
      <c r="V44" s="2"/>
      <c r="W44" s="2"/>
      <c r="X44" s="3"/>
    </row>
    <row r="45" spans="1:24" ht="13.5" thickBot="1">
      <c r="A45" s="75"/>
      <c r="B45" s="76"/>
      <c r="C45" s="76"/>
      <c r="D45" s="76"/>
      <c r="E45" s="76"/>
      <c r="F45" s="77">
        <f>F39/F44</f>
        <v>0.534076660988075</v>
      </c>
      <c r="G45" s="76"/>
      <c r="H45" s="77">
        <f>H39/H44</f>
        <v>1.6428571428571428</v>
      </c>
      <c r="I45" s="76"/>
      <c r="J45" s="76"/>
      <c r="K45" s="77">
        <f>K39/K44</f>
        <v>0</v>
      </c>
      <c r="L45" s="107">
        <f>SUM(F39,H39,K39)/L44</f>
        <v>0.2893889092912229</v>
      </c>
      <c r="M45" s="73" t="s">
        <v>69</v>
      </c>
      <c r="N45" s="74"/>
      <c r="O45" s="11"/>
      <c r="P45" s="12" t="s">
        <v>74</v>
      </c>
      <c r="Q45" s="12"/>
      <c r="R45" s="12"/>
      <c r="S45" s="11"/>
      <c r="T45" s="12" t="str">
        <f>P45</f>
        <v>Energi</v>
      </c>
      <c r="U45" s="12"/>
      <c r="V45" s="12"/>
      <c r="W45" s="12"/>
      <c r="X45" s="13"/>
    </row>
    <row r="46" ht="13.5" thickBot="1">
      <c r="M46" s="5"/>
    </row>
    <row r="47" spans="1:13" ht="52.5" customHeight="1" thickBot="1">
      <c r="A47" s="78" t="str">
        <f aca="true" t="shared" si="29" ref="A47:K47">A6</f>
        <v>elimport</v>
      </c>
      <c r="B47" s="79" t="str">
        <f t="shared" si="29"/>
        <v>LPG og petroleum</v>
      </c>
      <c r="C47" s="79" t="str">
        <f t="shared" si="29"/>
        <v>Olie</v>
      </c>
      <c r="D47" s="79" t="str">
        <f t="shared" si="29"/>
        <v>Diesel</v>
      </c>
      <c r="E47" s="79" t="str">
        <f t="shared" si="29"/>
        <v>Benzin</v>
      </c>
      <c r="F47" s="79" t="str">
        <f t="shared" si="29"/>
        <v>Halm</v>
      </c>
      <c r="G47" s="79" t="str">
        <f t="shared" si="29"/>
        <v>Træpiller</v>
      </c>
      <c r="H47" s="79" t="str">
        <f t="shared" si="29"/>
        <v>Træ og træflis</v>
      </c>
      <c r="I47" s="79" t="str">
        <f t="shared" si="29"/>
        <v>Solvarme</v>
      </c>
      <c r="J47" s="79" t="str">
        <f t="shared" si="29"/>
        <v>Vind</v>
      </c>
      <c r="K47" s="79" t="str">
        <f t="shared" si="29"/>
        <v>Biogas</v>
      </c>
      <c r="M47" s="5"/>
    </row>
    <row r="48" spans="1:17" ht="12.75">
      <c r="A48" s="80">
        <v>142</v>
      </c>
      <c r="B48" s="81">
        <v>68.5</v>
      </c>
      <c r="C48" s="81">
        <v>74</v>
      </c>
      <c r="D48" s="81">
        <v>74</v>
      </c>
      <c r="E48" s="81">
        <v>73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2" t="str">
        <f>"CO2-emissionsværdier (ton/"&amp;$C$3&amp;")"</f>
        <v>CO2-emissionsværdier (ton/TJ)</v>
      </c>
      <c r="M48" s="83"/>
      <c r="N48" s="69"/>
      <c r="Q48" s="84"/>
    </row>
    <row r="49" spans="1:14" ht="12.75">
      <c r="A49" s="85">
        <v>0.03</v>
      </c>
      <c r="B49" s="35">
        <v>0</v>
      </c>
      <c r="C49" s="35">
        <v>0.094</v>
      </c>
      <c r="D49" s="35">
        <v>0.094</v>
      </c>
      <c r="E49" s="35">
        <v>0.022</v>
      </c>
      <c r="F49" s="35">
        <v>0.13</v>
      </c>
      <c r="G49" s="35">
        <v>0.015</v>
      </c>
      <c r="H49" s="35">
        <v>0.015</v>
      </c>
      <c r="I49" s="35">
        <v>0</v>
      </c>
      <c r="J49" s="35">
        <v>0</v>
      </c>
      <c r="K49" s="35">
        <v>0</v>
      </c>
      <c r="L49" s="86" t="str">
        <f>"SO2-emissionsværdier (ton/"&amp;$C$3&amp;")"</f>
        <v>SO2-emissionsværdier (ton/TJ)</v>
      </c>
      <c r="M49" s="37"/>
      <c r="N49" s="70"/>
    </row>
    <row r="50" spans="1:14" ht="13.5" thickBot="1">
      <c r="A50" s="75">
        <v>0.28</v>
      </c>
      <c r="B50" s="76">
        <v>0.1</v>
      </c>
      <c r="C50" s="76">
        <v>0.1</v>
      </c>
      <c r="D50" s="76">
        <v>1.52</v>
      </c>
      <c r="E50" s="76">
        <v>0.73</v>
      </c>
      <c r="F50" s="76">
        <v>0.09</v>
      </c>
      <c r="G50" s="76">
        <v>0.09</v>
      </c>
      <c r="H50" s="76">
        <v>0.09</v>
      </c>
      <c r="I50" s="76">
        <v>0</v>
      </c>
      <c r="J50" s="76">
        <v>0</v>
      </c>
      <c r="K50" s="76">
        <v>0.2</v>
      </c>
      <c r="L50" s="87" t="str">
        <f>"NOx-emissionsværdier (ton/"&amp;$C$3&amp;")"</f>
        <v>NOx-emissionsværdier (ton/TJ)</v>
      </c>
      <c r="M50" s="88"/>
      <c r="N50" s="74"/>
    </row>
  </sheetData>
  <mergeCells count="1">
    <mergeCell ref="C2:D2"/>
  </mergeCells>
  <dataValidations count="1">
    <dataValidation type="list" allowBlank="1" showInputMessage="1" showErrorMessage="1" promptTitle="Energienhed" prompt="Vælg her en passende energienhed" sqref="C3">
      <formula1>enhedsliste</formula1>
    </dataValidation>
  </dataValidations>
  <printOptions headings="1"/>
  <pageMargins left="0.45" right="0.45" top="0.7" bottom="0.55" header="0.5118110236220472" footer="0.33"/>
  <pageSetup cellComments="atEnd" fitToHeight="1" fitToWidth="1" horizontalDpi="600" verticalDpi="600" orientation="landscape" paperSize="9" scale="70" r:id="rId1"/>
  <headerFooter alignWithMargins="0">
    <oddHeader>&amp;LPlanEnergi&amp;C&amp;A</oddHeader>
    <oddFooter>&amp;L&amp;F&amp;C&amp;P&amp;R&amp;T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113">
    <pageSetUpPr fitToPage="1"/>
  </sheetPr>
  <dimension ref="A1:AY53"/>
  <sheetViews>
    <sheetView showGridLines="0" zoomScale="75" zoomScaleNormal="75" workbookViewId="0" topLeftCell="A18">
      <selection activeCell="J24" sqref="J24"/>
    </sheetView>
  </sheetViews>
  <sheetFormatPr defaultColWidth="9.33203125" defaultRowHeight="12.75"/>
  <cols>
    <col min="1" max="1" width="6.5" style="0" customWidth="1"/>
    <col min="2" max="2" width="6.16015625" style="0" customWidth="1"/>
    <col min="3" max="3" width="6.83203125" style="0" customWidth="1"/>
    <col min="4" max="4" width="7.16015625" style="0" customWidth="1"/>
    <col min="5" max="7" width="5.83203125" style="0" customWidth="1"/>
    <col min="8" max="8" width="6.66015625" style="0" customWidth="1"/>
    <col min="9" max="9" width="5.66015625" style="0" customWidth="1"/>
    <col min="10" max="11" width="5.83203125" style="0" customWidth="1"/>
    <col min="12" max="12" width="7.33203125" style="0" customWidth="1"/>
    <col min="13" max="13" width="23.16015625" style="0" customWidth="1"/>
    <col min="14" max="14" width="4.83203125" style="0" customWidth="1"/>
    <col min="15" max="15" width="7.5" style="0" customWidth="1"/>
    <col min="16" max="18" width="4.83203125" style="0" customWidth="1"/>
    <col min="19" max="19" width="7.16015625" style="0" customWidth="1"/>
    <col min="20" max="20" width="6.33203125" style="0" customWidth="1"/>
    <col min="21" max="21" width="7" style="0" customWidth="1"/>
    <col min="22" max="22" width="7.16015625" style="0" customWidth="1"/>
    <col min="23" max="23" width="6" style="0" customWidth="1"/>
    <col min="24" max="25" width="6.83203125" style="0" customWidth="1"/>
    <col min="26" max="31" width="5.83203125" style="0" customWidth="1"/>
    <col min="32" max="32" width="6.33203125" style="0" customWidth="1"/>
    <col min="35" max="45" width="5.83203125" style="0" customWidth="1"/>
    <col min="46" max="46" width="6.5" style="0" customWidth="1"/>
    <col min="47" max="47" width="6.66015625" style="0" customWidth="1"/>
    <col min="48" max="48" width="6" style="0" customWidth="1"/>
    <col min="49" max="49" width="5.66015625" style="0" customWidth="1"/>
    <col min="50" max="50" width="5.83203125" style="0" customWidth="1"/>
  </cols>
  <sheetData>
    <row r="1" spans="1:32" ht="12.75">
      <c r="A1" s="1" t="s">
        <v>0</v>
      </c>
      <c r="B1" s="2"/>
      <c r="C1" s="2" t="s">
        <v>1</v>
      </c>
      <c r="D1" s="3"/>
      <c r="E1" s="1" t="s">
        <v>70</v>
      </c>
      <c r="F1" s="2"/>
      <c r="G1" s="2"/>
      <c r="H1" s="2"/>
      <c r="I1" s="3">
        <v>4125</v>
      </c>
      <c r="S1" s="7" t="s">
        <v>94</v>
      </c>
      <c r="T1" s="7">
        <v>0.361</v>
      </c>
      <c r="U1" s="7" t="s">
        <v>95</v>
      </c>
      <c r="V1" s="6">
        <f>SUM(W1:AE1,T1)</f>
        <v>98.11200000000001</v>
      </c>
      <c r="W1" s="6">
        <f>(0.155+6.211+1.797+0.018)*0.175</f>
        <v>1.431675</v>
      </c>
      <c r="X1" s="6">
        <f>(0.155+6.211+1.797+0.018)*0.825</f>
        <v>6.749325000000001</v>
      </c>
      <c r="Y1" s="7"/>
      <c r="Z1" s="6">
        <f>0.555+0.057+0.023+16.774+4.82+0.114+6.829+0.114</f>
        <v>29.286000000000005</v>
      </c>
      <c r="AA1" s="7">
        <f>3.545+3.891</f>
        <v>7.436</v>
      </c>
      <c r="AB1" s="7">
        <f>17.852+0.299+0.082+0.404</f>
        <v>18.637</v>
      </c>
      <c r="AC1" s="9">
        <f>5.15+0.03+0.12+0.099+0.185+0.915+0.78</f>
        <v>7.279000000000001</v>
      </c>
      <c r="AD1" s="10">
        <f>10.557+0.822+2.31+0.12+0.845</f>
        <v>14.654</v>
      </c>
      <c r="AE1" s="9">
        <f>2.626+1.967+1.758+0.952+1.392+0.91+1.658+1.015</f>
        <v>12.278</v>
      </c>
      <c r="AF1" s="93"/>
    </row>
    <row r="2" spans="1:32" ht="12.75">
      <c r="A2" s="4" t="s">
        <v>2</v>
      </c>
      <c r="B2" s="5"/>
      <c r="C2" s="153">
        <v>2005</v>
      </c>
      <c r="D2" s="154"/>
      <c r="E2" s="4"/>
      <c r="F2" s="5"/>
      <c r="G2" s="5"/>
      <c r="H2" s="5"/>
      <c r="I2" s="89"/>
      <c r="S2" s="7" t="s">
        <v>81</v>
      </c>
      <c r="T2" s="7">
        <v>0.24</v>
      </c>
      <c r="U2" s="7" t="s">
        <v>22</v>
      </c>
      <c r="V2" s="6">
        <f>SUM(W2:AE2,T2)</f>
        <v>97.56272912423624</v>
      </c>
      <c r="W2" s="6">
        <f>(8.3)*0.175</f>
        <v>1.4525000000000001</v>
      </c>
      <c r="X2" s="6">
        <f>(8.3)*0.825</f>
        <v>6.8475</v>
      </c>
      <c r="Y2" s="7"/>
      <c r="Z2" s="6">
        <f aca="true" t="shared" si="0" ref="Z2:AE2">Z1/98.2*97.6</f>
        <v>29.107063136456215</v>
      </c>
      <c r="AA2" s="6">
        <f t="shared" si="0"/>
        <v>7.3905661914460286</v>
      </c>
      <c r="AB2" s="6">
        <f t="shared" si="0"/>
        <v>18.5231283095723</v>
      </c>
      <c r="AC2" s="6">
        <f t="shared" si="0"/>
        <v>7.234525458248473</v>
      </c>
      <c r="AD2" s="6">
        <f t="shared" si="0"/>
        <v>14.564464358452136</v>
      </c>
      <c r="AE2" s="6">
        <f t="shared" si="0"/>
        <v>12.2029816700611</v>
      </c>
      <c r="AF2" s="93"/>
    </row>
    <row r="3" spans="1:26" ht="13.5" thickBot="1">
      <c r="A3" s="11" t="s">
        <v>3</v>
      </c>
      <c r="B3" s="12"/>
      <c r="C3" s="12" t="s">
        <v>4</v>
      </c>
      <c r="D3" s="13"/>
      <c r="E3" s="11"/>
      <c r="F3" s="12"/>
      <c r="G3" s="12"/>
      <c r="H3" s="12"/>
      <c r="I3" s="13"/>
      <c r="W3" s="46"/>
      <c r="X3" s="46"/>
      <c r="Z3" s="46"/>
    </row>
    <row r="4" spans="1:35" ht="13.5" thickBot="1">
      <c r="A4" s="14"/>
      <c r="B4" s="2"/>
      <c r="C4" s="2"/>
      <c r="D4" s="15"/>
      <c r="E4" s="15"/>
      <c r="F4" s="15"/>
      <c r="G4" s="15"/>
      <c r="H4" s="15"/>
      <c r="I4" s="15"/>
      <c r="J4" s="15"/>
      <c r="K4" s="15"/>
      <c r="L4" s="15"/>
      <c r="M4" s="16" t="str">
        <f>"Energibalance, "&amp;sted&amp;" "&amp;år</f>
        <v>Energibalance, Samsø 2005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7"/>
      <c r="AI4" t="s">
        <v>83</v>
      </c>
    </row>
    <row r="5" spans="1:49" ht="13.5" thickBot="1">
      <c r="A5" s="14" t="s">
        <v>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 t="s">
        <v>6</v>
      </c>
      <c r="N5" s="18" t="s">
        <v>7</v>
      </c>
      <c r="O5" s="18"/>
      <c r="P5" s="18"/>
      <c r="Q5" s="18"/>
      <c r="R5" s="18"/>
      <c r="S5" s="14" t="s">
        <v>8</v>
      </c>
      <c r="T5" s="20"/>
      <c r="U5" s="18" t="s">
        <v>9</v>
      </c>
      <c r="V5" s="18"/>
      <c r="W5" s="14" t="s">
        <v>10</v>
      </c>
      <c r="X5" s="18"/>
      <c r="Y5" s="18"/>
      <c r="Z5" s="18"/>
      <c r="AA5" s="18"/>
      <c r="AB5" s="18"/>
      <c r="AC5" s="18"/>
      <c r="AD5" s="18"/>
      <c r="AE5" s="18"/>
      <c r="AF5" s="20"/>
      <c r="AI5" t="str">
        <f>A5</f>
        <v>Brændsel</v>
      </c>
      <c r="AU5" t="str">
        <f>S5</f>
        <v>El-net</v>
      </c>
      <c r="AW5" t="str">
        <f>U5</f>
        <v>Fjv-net</v>
      </c>
    </row>
    <row r="6" spans="1:51" s="28" customFormat="1" ht="62.25" customHeight="1" thickBot="1">
      <c r="A6" s="21" t="s">
        <v>11</v>
      </c>
      <c r="B6" s="22" t="s">
        <v>12</v>
      </c>
      <c r="C6" s="22" t="s">
        <v>13</v>
      </c>
      <c r="D6" s="23" t="s">
        <v>14</v>
      </c>
      <c r="E6" s="23" t="s">
        <v>15</v>
      </c>
      <c r="F6" s="23" t="s">
        <v>16</v>
      </c>
      <c r="G6" s="23" t="s">
        <v>17</v>
      </c>
      <c r="H6" s="23" t="s">
        <v>18</v>
      </c>
      <c r="I6" s="23" t="s">
        <v>19</v>
      </c>
      <c r="J6" s="23" t="s">
        <v>20</v>
      </c>
      <c r="K6" s="23" t="s">
        <v>21</v>
      </c>
      <c r="L6" s="24" t="s">
        <v>22</v>
      </c>
      <c r="M6" s="25" t="s">
        <v>23</v>
      </c>
      <c r="N6" s="22" t="s">
        <v>24</v>
      </c>
      <c r="O6" s="23" t="s">
        <v>25</v>
      </c>
      <c r="P6" s="24" t="s">
        <v>26</v>
      </c>
      <c r="Q6" s="23" t="s">
        <v>8</v>
      </c>
      <c r="R6" s="26" t="s">
        <v>9</v>
      </c>
      <c r="S6" s="21" t="s">
        <v>27</v>
      </c>
      <c r="T6" s="27" t="s">
        <v>28</v>
      </c>
      <c r="U6" s="22" t="s">
        <v>27</v>
      </c>
      <c r="V6" s="24" t="s">
        <v>28</v>
      </c>
      <c r="W6" s="21" t="s">
        <v>29</v>
      </c>
      <c r="X6" s="23" t="s">
        <v>30</v>
      </c>
      <c r="Y6" s="23" t="s">
        <v>31</v>
      </c>
      <c r="Z6" s="23" t="s">
        <v>75</v>
      </c>
      <c r="AA6" s="23" t="s">
        <v>76</v>
      </c>
      <c r="AB6" s="23" t="s">
        <v>77</v>
      </c>
      <c r="AC6" s="23" t="s">
        <v>78</v>
      </c>
      <c r="AD6" s="24" t="s">
        <v>79</v>
      </c>
      <c r="AE6" s="24" t="s">
        <v>80</v>
      </c>
      <c r="AF6" s="27" t="s">
        <v>32</v>
      </c>
      <c r="AI6" s="28" t="str">
        <f>A6</f>
        <v>elimport</v>
      </c>
      <c r="AJ6" s="28" t="str">
        <f aca="true" t="shared" si="1" ref="AJ6:AT6">B6</f>
        <v>LPG og petroleum</v>
      </c>
      <c r="AK6" s="28" t="str">
        <f t="shared" si="1"/>
        <v>Olie</v>
      </c>
      <c r="AL6" s="28" t="str">
        <f t="shared" si="1"/>
        <v>Diesel</v>
      </c>
      <c r="AM6" s="28" t="str">
        <f t="shared" si="1"/>
        <v>Benzin</v>
      </c>
      <c r="AN6" s="28" t="str">
        <f t="shared" si="1"/>
        <v>Halm</v>
      </c>
      <c r="AO6" s="28" t="str">
        <f t="shared" si="1"/>
        <v>Træpiller</v>
      </c>
      <c r="AP6" s="28" t="str">
        <f t="shared" si="1"/>
        <v>Træ og træflis</v>
      </c>
      <c r="AQ6" s="28" t="str">
        <f t="shared" si="1"/>
        <v>Solvarme</v>
      </c>
      <c r="AR6" s="28" t="str">
        <f t="shared" si="1"/>
        <v>Vind</v>
      </c>
      <c r="AS6" s="28" t="str">
        <f t="shared" si="1"/>
        <v>Biogas</v>
      </c>
      <c r="AT6" s="28" t="str">
        <f t="shared" si="1"/>
        <v>Samlet</v>
      </c>
      <c r="AU6" s="28" t="str">
        <f>S6</f>
        <v>ab værk</v>
      </c>
      <c r="AV6" s="28" t="str">
        <f>T6</f>
        <v>an forbruger</v>
      </c>
      <c r="AW6" s="28" t="str">
        <f>U6</f>
        <v>ab værk</v>
      </c>
      <c r="AX6" s="28" t="str">
        <f>V6</f>
        <v>an forbruger</v>
      </c>
      <c r="AY6" s="28" t="s">
        <v>84</v>
      </c>
    </row>
    <row r="7" spans="1:51" ht="12.75">
      <c r="A7" s="29"/>
      <c r="B7" s="30">
        <v>1.8</v>
      </c>
      <c r="C7" s="30"/>
      <c r="D7" s="31"/>
      <c r="E7" s="31"/>
      <c r="F7" s="31"/>
      <c r="G7" s="31"/>
      <c r="H7" s="31"/>
      <c r="I7" s="31"/>
      <c r="J7" s="31"/>
      <c r="K7" s="31"/>
      <c r="L7" s="32">
        <f>SUM(A7:K7)</f>
        <v>1.8</v>
      </c>
      <c r="M7" s="150" t="s">
        <v>33</v>
      </c>
      <c r="N7" s="34"/>
      <c r="O7" s="35"/>
      <c r="P7" s="36">
        <v>38</v>
      </c>
      <c r="Q7" s="35"/>
      <c r="R7" s="37"/>
      <c r="S7" s="38"/>
      <c r="T7" s="39"/>
      <c r="U7" s="40"/>
      <c r="V7" s="41"/>
      <c r="W7" s="38"/>
      <c r="X7" s="42"/>
      <c r="Y7" s="42"/>
      <c r="Z7" s="42">
        <f>L7*P7/100</f>
        <v>0.684</v>
      </c>
      <c r="AA7" s="42"/>
      <c r="AB7" s="42"/>
      <c r="AC7" s="42"/>
      <c r="AD7" s="41"/>
      <c r="AE7" s="41"/>
      <c r="AF7" s="39"/>
      <c r="AI7">
        <f aca="true" t="shared" si="2" ref="AI7:AI41">IF(A7&lt;&gt;0,$AT7,"")</f>
      </c>
      <c r="AJ7">
        <f aca="true" t="shared" si="3" ref="AJ7:AJ41">IF(B7&lt;&gt;0,$AT7,"")</f>
        <v>1.8</v>
      </c>
      <c r="AK7">
        <f aca="true" t="shared" si="4" ref="AK7:AK41">IF(C7&lt;&gt;0,$AT7,"")</f>
      </c>
      <c r="AL7">
        <f aca="true" t="shared" si="5" ref="AL7:AL41">IF(D7&lt;&gt;0,$AT7,"")</f>
      </c>
      <c r="AM7">
        <f aca="true" t="shared" si="6" ref="AM7:AM41">IF(E7&lt;&gt;0,$AT7,"")</f>
      </c>
      <c r="AN7">
        <f aca="true" t="shared" si="7" ref="AN7:AN41">IF(F7&lt;&gt;0,$AT7,"")</f>
      </c>
      <c r="AO7">
        <f aca="true" t="shared" si="8" ref="AO7:AO41">IF(G7&lt;&gt;0,$AT7,"")</f>
      </c>
      <c r="AP7">
        <f aca="true" t="shared" si="9" ref="AP7:AP41">IF(H7&lt;&gt;0,$AT7,"")</f>
      </c>
      <c r="AQ7">
        <f aca="true" t="shared" si="10" ref="AQ7:AQ41">IF(I7&lt;&gt;0,$AT7,"")</f>
      </c>
      <c r="AR7">
        <f aca="true" t="shared" si="11" ref="AR7:AR41">IF(J7&lt;&gt;0,$AT7,"")</f>
      </c>
      <c r="AS7">
        <f aca="true" t="shared" si="12" ref="AS7:AS41">IF(K7&lt;&gt;0,$AT7,"")</f>
      </c>
      <c r="AT7" s="46">
        <f aca="true" t="shared" si="13" ref="AT7:AT12">IF(L7&lt;&gt;0,IF(Y7=0,L7,AY7/P7*100),"")</f>
        <v>1.8</v>
      </c>
      <c r="AV7">
        <f aca="true" t="shared" si="14" ref="AV7:AV14">IF(T7&lt;&gt;0,AY7/P7*100,"")</f>
      </c>
      <c r="AY7" s="94">
        <f aca="true" t="shared" si="15" ref="AY7:AY41">SUM(W7,Y7:AF7)</f>
        <v>0.684</v>
      </c>
    </row>
    <row r="8" spans="1:51" ht="12.75">
      <c r="A8" s="29"/>
      <c r="B8" s="30"/>
      <c r="C8" s="30"/>
      <c r="D8" s="31"/>
      <c r="E8" s="31"/>
      <c r="F8" s="31"/>
      <c r="G8" s="31"/>
      <c r="H8" s="31"/>
      <c r="I8" s="31"/>
      <c r="J8" s="31"/>
      <c r="K8" s="31"/>
      <c r="L8" s="32"/>
      <c r="M8" s="150" t="s">
        <v>34</v>
      </c>
      <c r="N8" s="34"/>
      <c r="O8" s="35"/>
      <c r="P8" s="36">
        <v>44</v>
      </c>
      <c r="Q8" s="35">
        <v>97</v>
      </c>
      <c r="R8" s="43"/>
      <c r="S8" s="38">
        <f>T8/Q8*100*-1</f>
        <v>-5.832095408066854</v>
      </c>
      <c r="T8" s="39">
        <f>SUM(W8:AF8)/P8*100</f>
        <v>5.657132545824848</v>
      </c>
      <c r="U8" s="40"/>
      <c r="V8" s="41"/>
      <c r="W8" s="38"/>
      <c r="X8" s="42"/>
      <c r="Y8" s="42"/>
      <c r="Z8" s="42">
        <f>Z2*15.5%*P8/100</f>
        <v>1.9851017059063139</v>
      </c>
      <c r="AA8" s="42">
        <f>AA2*15.5%*P8/100</f>
        <v>0.5040366142566192</v>
      </c>
      <c r="AB8" s="42"/>
      <c r="AC8" s="42"/>
      <c r="AD8" s="41"/>
      <c r="AE8" s="41"/>
      <c r="AF8" s="39"/>
      <c r="AI8">
        <f t="shared" si="2"/>
      </c>
      <c r="AJ8">
        <f t="shared" si="3"/>
      </c>
      <c r="AK8">
        <f t="shared" si="4"/>
      </c>
      <c r="AL8">
        <f t="shared" si="5"/>
      </c>
      <c r="AM8">
        <f t="shared" si="6"/>
      </c>
      <c r="AN8">
        <f t="shared" si="7"/>
      </c>
      <c r="AO8">
        <f t="shared" si="8"/>
      </c>
      <c r="AP8">
        <f t="shared" si="9"/>
      </c>
      <c r="AQ8">
        <f t="shared" si="10"/>
      </c>
      <c r="AR8">
        <f t="shared" si="11"/>
      </c>
      <c r="AS8">
        <f t="shared" si="12"/>
      </c>
      <c r="AT8" s="46">
        <f t="shared" si="13"/>
      </c>
      <c r="AU8" s="94">
        <f>AV8/Q8*100*-1</f>
        <v>-5.832095408066854</v>
      </c>
      <c r="AV8" s="94">
        <f t="shared" si="14"/>
        <v>5.657132545824848</v>
      </c>
      <c r="AY8" s="94">
        <f t="shared" si="15"/>
        <v>2.489138320162933</v>
      </c>
    </row>
    <row r="9" spans="1:51" ht="12.75">
      <c r="A9" s="29"/>
      <c r="B9" s="30"/>
      <c r="C9" s="30"/>
      <c r="D9" s="31"/>
      <c r="E9" s="31"/>
      <c r="F9" s="31"/>
      <c r="G9" s="31"/>
      <c r="H9" s="31"/>
      <c r="I9" s="31"/>
      <c r="J9" s="31"/>
      <c r="K9" s="31"/>
      <c r="L9" s="32"/>
      <c r="M9" s="150" t="s">
        <v>35</v>
      </c>
      <c r="N9" s="34"/>
      <c r="O9" s="35"/>
      <c r="P9" s="36">
        <v>90</v>
      </c>
      <c r="Q9" s="35">
        <v>97</v>
      </c>
      <c r="R9" s="43"/>
      <c r="S9" s="38">
        <f>T9/Q9*100*-1</f>
        <v>-1.4974226804123716</v>
      </c>
      <c r="T9" s="39">
        <f>W9/P9*100</f>
        <v>1.4525000000000003</v>
      </c>
      <c r="U9" s="40"/>
      <c r="V9" s="39"/>
      <c r="W9" s="40">
        <f>W$2*$P9/100</f>
        <v>1.3072500000000002</v>
      </c>
      <c r="X9" s="42"/>
      <c r="Y9" s="42"/>
      <c r="Z9" s="42"/>
      <c r="AA9" s="42"/>
      <c r="AB9" s="42"/>
      <c r="AC9" s="42"/>
      <c r="AD9" s="41"/>
      <c r="AE9" s="41"/>
      <c r="AF9" s="39"/>
      <c r="AI9">
        <f t="shared" si="2"/>
      </c>
      <c r="AJ9">
        <f t="shared" si="3"/>
      </c>
      <c r="AK9">
        <f t="shared" si="4"/>
      </c>
      <c r="AL9">
        <f t="shared" si="5"/>
      </c>
      <c r="AM9">
        <f t="shared" si="6"/>
      </c>
      <c r="AN9">
        <f t="shared" si="7"/>
      </c>
      <c r="AO9">
        <f t="shared" si="8"/>
      </c>
      <c r="AP9">
        <f t="shared" si="9"/>
      </c>
      <c r="AQ9">
        <f t="shared" si="10"/>
      </c>
      <c r="AR9">
        <f t="shared" si="11"/>
      </c>
      <c r="AS9">
        <f t="shared" si="12"/>
      </c>
      <c r="AT9" s="46">
        <f t="shared" si="13"/>
      </c>
      <c r="AU9" s="94">
        <f>AV9/Q9*100*-1</f>
        <v>-1.4974226804123716</v>
      </c>
      <c r="AV9" s="94">
        <f t="shared" si="14"/>
        <v>1.4525000000000003</v>
      </c>
      <c r="AY9" s="94">
        <f t="shared" si="15"/>
        <v>1.3072500000000002</v>
      </c>
    </row>
    <row r="10" spans="1:51" ht="12.75">
      <c r="A10" s="29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2"/>
      <c r="M10" s="150" t="s">
        <v>36</v>
      </c>
      <c r="N10" s="34"/>
      <c r="O10" s="35"/>
      <c r="P10" s="36">
        <v>100</v>
      </c>
      <c r="Q10" s="35">
        <v>97</v>
      </c>
      <c r="R10" s="43"/>
      <c r="S10" s="38">
        <f>T10/Q10*100*-1</f>
        <v>-7.059278350515465</v>
      </c>
      <c r="T10" s="39">
        <f>X10/P10*100</f>
        <v>6.847500000000001</v>
      </c>
      <c r="U10" s="40"/>
      <c r="V10" s="41"/>
      <c r="W10" s="38"/>
      <c r="X10" s="40">
        <f>X$2*$P10/100</f>
        <v>6.8475</v>
      </c>
      <c r="Y10" s="42">
        <f>X10*$Y$43</f>
        <v>7.386164254247955</v>
      </c>
      <c r="Z10" s="42"/>
      <c r="AA10" s="42"/>
      <c r="AB10" s="42"/>
      <c r="AC10" s="42"/>
      <c r="AD10" s="41"/>
      <c r="AE10" s="41"/>
      <c r="AF10" s="39"/>
      <c r="AI10">
        <f t="shared" si="2"/>
      </c>
      <c r="AJ10">
        <f t="shared" si="3"/>
      </c>
      <c r="AK10">
        <f t="shared" si="4"/>
      </c>
      <c r="AL10">
        <f t="shared" si="5"/>
      </c>
      <c r="AM10">
        <f t="shared" si="6"/>
      </c>
      <c r="AN10">
        <f t="shared" si="7"/>
      </c>
      <c r="AO10">
        <f t="shared" si="8"/>
      </c>
      <c r="AP10">
        <f t="shared" si="9"/>
      </c>
      <c r="AQ10">
        <f t="shared" si="10"/>
      </c>
      <c r="AR10">
        <f t="shared" si="11"/>
      </c>
      <c r="AS10">
        <f t="shared" si="12"/>
      </c>
      <c r="AT10" s="46">
        <f t="shared" si="13"/>
      </c>
      <c r="AU10" s="94">
        <f>AV10/Q10*100*-1</f>
        <v>-7.614602323966964</v>
      </c>
      <c r="AV10" s="94">
        <f t="shared" si="14"/>
        <v>7.386164254247955</v>
      </c>
      <c r="AY10" s="94">
        <f t="shared" si="15"/>
        <v>7.386164254247955</v>
      </c>
    </row>
    <row r="11" spans="1:51" ht="12.75">
      <c r="A11" s="29"/>
      <c r="B11" s="30"/>
      <c r="C11" s="30"/>
      <c r="D11" s="31"/>
      <c r="E11" s="31"/>
      <c r="F11" s="31"/>
      <c r="G11" s="31"/>
      <c r="H11" s="31"/>
      <c r="I11" s="31">
        <v>0.5</v>
      </c>
      <c r="J11" s="31"/>
      <c r="K11" s="31"/>
      <c r="L11" s="32">
        <f>SUM(A11:K11)</f>
        <v>0.5</v>
      </c>
      <c r="M11" s="150" t="s">
        <v>37</v>
      </c>
      <c r="N11" s="34"/>
      <c r="O11" s="35"/>
      <c r="P11" s="36">
        <v>100</v>
      </c>
      <c r="Q11" s="35"/>
      <c r="R11" s="37"/>
      <c r="S11" s="38"/>
      <c r="T11" s="39"/>
      <c r="U11" s="40"/>
      <c r="V11" s="41"/>
      <c r="W11" s="38">
        <f>L11*P11/100*0.8</f>
        <v>0.4</v>
      </c>
      <c r="X11" s="42">
        <f>L11*P11/100*0.2</f>
        <v>0.1</v>
      </c>
      <c r="Y11" s="42">
        <f>X11*$Y$43</f>
        <v>0.10786658275645061</v>
      </c>
      <c r="Z11" s="42"/>
      <c r="AA11" s="42"/>
      <c r="AB11" s="42"/>
      <c r="AC11" s="42"/>
      <c r="AD11" s="41"/>
      <c r="AE11" s="41"/>
      <c r="AF11" s="39"/>
      <c r="AI11">
        <f t="shared" si="2"/>
      </c>
      <c r="AJ11">
        <f t="shared" si="3"/>
      </c>
      <c r="AK11">
        <f t="shared" si="4"/>
      </c>
      <c r="AL11">
        <f t="shared" si="5"/>
      </c>
      <c r="AM11">
        <f t="shared" si="6"/>
      </c>
      <c r="AN11">
        <f t="shared" si="7"/>
      </c>
      <c r="AO11">
        <f t="shared" si="8"/>
      </c>
      <c r="AP11">
        <f t="shared" si="9"/>
      </c>
      <c r="AQ11">
        <f t="shared" si="10"/>
        <v>0.5078665827564506</v>
      </c>
      <c r="AR11">
        <f t="shared" si="11"/>
      </c>
      <c r="AS11">
        <f t="shared" si="12"/>
      </c>
      <c r="AT11" s="46">
        <f t="shared" si="13"/>
        <v>0.5078665827564506</v>
      </c>
      <c r="AV11" s="94">
        <f t="shared" si="14"/>
      </c>
      <c r="AY11" s="94">
        <f t="shared" si="15"/>
        <v>0.5078665827564506</v>
      </c>
    </row>
    <row r="12" spans="1:51" ht="12.75">
      <c r="A12" s="29"/>
      <c r="B12" s="30"/>
      <c r="C12" s="30"/>
      <c r="D12" s="31"/>
      <c r="E12" s="31"/>
      <c r="F12" s="31"/>
      <c r="G12" s="31"/>
      <c r="H12" s="31"/>
      <c r="I12" s="31"/>
      <c r="J12" s="134">
        <f>107294765*3.6/1000000</f>
        <v>386.261154</v>
      </c>
      <c r="K12" s="31"/>
      <c r="L12" s="32">
        <f>SUM(A12:K12)</f>
        <v>386.261154</v>
      </c>
      <c r="M12" s="150" t="s">
        <v>38</v>
      </c>
      <c r="N12" s="34">
        <v>100</v>
      </c>
      <c r="O12" s="35"/>
      <c r="P12" s="36"/>
      <c r="Q12" s="35"/>
      <c r="R12" s="37"/>
      <c r="S12" s="29">
        <f>L12*N12/100</f>
        <v>386.261154</v>
      </c>
      <c r="T12" s="39"/>
      <c r="U12" s="40"/>
      <c r="V12" s="41"/>
      <c r="W12" s="38"/>
      <c r="X12" s="42"/>
      <c r="Y12" s="42"/>
      <c r="Z12" s="42"/>
      <c r="AA12" s="42"/>
      <c r="AB12" s="42"/>
      <c r="AC12" s="42"/>
      <c r="AD12" s="41"/>
      <c r="AE12" s="41"/>
      <c r="AF12" s="39"/>
      <c r="AI12">
        <f t="shared" si="2"/>
      </c>
      <c r="AJ12">
        <f t="shared" si="3"/>
      </c>
      <c r="AK12">
        <f t="shared" si="4"/>
      </c>
      <c r="AL12">
        <f t="shared" si="5"/>
      </c>
      <c r="AM12">
        <f t="shared" si="6"/>
      </c>
      <c r="AN12">
        <f t="shared" si="7"/>
      </c>
      <c r="AO12">
        <f t="shared" si="8"/>
      </c>
      <c r="AP12">
        <f t="shared" si="9"/>
      </c>
      <c r="AQ12">
        <f t="shared" si="10"/>
      </c>
      <c r="AR12">
        <f t="shared" si="11"/>
        <v>386.261154</v>
      </c>
      <c r="AS12">
        <f t="shared" si="12"/>
      </c>
      <c r="AT12" s="46">
        <f t="shared" si="13"/>
        <v>386.261154</v>
      </c>
      <c r="AU12">
        <f>AT12*N12/100</f>
        <v>386.261154</v>
      </c>
      <c r="AV12" s="94">
        <f t="shared" si="14"/>
      </c>
      <c r="AY12" s="94">
        <f t="shared" si="15"/>
        <v>0</v>
      </c>
    </row>
    <row r="13" spans="1:51" ht="12.75">
      <c r="A13" s="135">
        <f>S13/N13*100</f>
        <v>-285.6810208822306</v>
      </c>
      <c r="B13" s="30"/>
      <c r="C13" s="30"/>
      <c r="D13" s="31"/>
      <c r="E13" s="31"/>
      <c r="F13" s="31"/>
      <c r="G13" s="31"/>
      <c r="H13" s="31"/>
      <c r="I13" s="31"/>
      <c r="J13" s="134"/>
      <c r="K13" s="31"/>
      <c r="L13" s="32">
        <f>SUM(A13:K13)</f>
        <v>-285.6810208822306</v>
      </c>
      <c r="M13" s="150" t="s">
        <v>39</v>
      </c>
      <c r="N13" s="34">
        <v>100</v>
      </c>
      <c r="O13" s="35"/>
      <c r="P13" s="36"/>
      <c r="Q13" s="35"/>
      <c r="R13" s="37"/>
      <c r="S13" s="29">
        <f>-SUM(S7:S12,S14:S41)</f>
        <v>-285.6810208822306</v>
      </c>
      <c r="T13" s="39"/>
      <c r="U13" s="40"/>
      <c r="V13" s="41"/>
      <c r="W13" s="38"/>
      <c r="X13" s="42"/>
      <c r="Y13" s="42"/>
      <c r="Z13" s="42"/>
      <c r="AA13" s="42"/>
      <c r="AB13" s="42"/>
      <c r="AC13" s="42"/>
      <c r="AD13" s="41"/>
      <c r="AE13" s="41"/>
      <c r="AF13" s="39"/>
      <c r="AI13">
        <f t="shared" si="2"/>
        <v>-285.10963934810104</v>
      </c>
      <c r="AJ13">
        <f t="shared" si="3"/>
      </c>
      <c r="AK13">
        <f t="shared" si="4"/>
      </c>
      <c r="AL13">
        <f t="shared" si="5"/>
      </c>
      <c r="AM13">
        <f t="shared" si="6"/>
      </c>
      <c r="AN13">
        <f t="shared" si="7"/>
      </c>
      <c r="AO13">
        <f t="shared" si="8"/>
      </c>
      <c r="AP13">
        <f t="shared" si="9"/>
      </c>
      <c r="AQ13">
        <f t="shared" si="10"/>
      </c>
      <c r="AR13">
        <f t="shared" si="11"/>
      </c>
      <c r="AS13">
        <f t="shared" si="12"/>
      </c>
      <c r="AT13" s="46">
        <f>AU13/N13*100</f>
        <v>-285.10963934810104</v>
      </c>
      <c r="AU13" s="96">
        <f>-SUM(AU7:AU12,AU14:AU41)</f>
        <v>-285.10963934810104</v>
      </c>
      <c r="AV13" s="94">
        <f t="shared" si="14"/>
      </c>
      <c r="AY13" s="94">
        <f t="shared" si="15"/>
        <v>0</v>
      </c>
    </row>
    <row r="14" spans="1:51" ht="12.75">
      <c r="A14" s="29"/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2">
        <f>SUM(A14:K14)</f>
        <v>0</v>
      </c>
      <c r="M14" s="150" t="s">
        <v>40</v>
      </c>
      <c r="N14" s="34">
        <v>100</v>
      </c>
      <c r="O14" s="35"/>
      <c r="P14" s="36"/>
      <c r="Q14" s="35"/>
      <c r="R14" s="37"/>
      <c r="S14" s="38"/>
      <c r="T14" s="39"/>
      <c r="U14" s="40"/>
      <c r="V14" s="41"/>
      <c r="W14" s="38"/>
      <c r="X14" s="42"/>
      <c r="Y14" s="42"/>
      <c r="Z14" s="42"/>
      <c r="AA14" s="42"/>
      <c r="AB14" s="42"/>
      <c r="AC14" s="42"/>
      <c r="AD14" s="42"/>
      <c r="AE14" s="42"/>
      <c r="AF14" s="39"/>
      <c r="AI14">
        <f t="shared" si="2"/>
      </c>
      <c r="AJ14">
        <f t="shared" si="3"/>
      </c>
      <c r="AK14">
        <f t="shared" si="4"/>
      </c>
      <c r="AL14">
        <f t="shared" si="5"/>
      </c>
      <c r="AM14">
        <f t="shared" si="6"/>
      </c>
      <c r="AN14">
        <f t="shared" si="7"/>
      </c>
      <c r="AO14">
        <f t="shared" si="8"/>
      </c>
      <c r="AP14">
        <f t="shared" si="9"/>
      </c>
      <c r="AQ14">
        <f t="shared" si="10"/>
      </c>
      <c r="AR14">
        <f t="shared" si="11"/>
      </c>
      <c r="AS14">
        <f t="shared" si="12"/>
      </c>
      <c r="AT14" s="46">
        <f aca="true" t="shared" si="16" ref="AT14:AT22">IF(L14&lt;&gt;0,IF(Y14=0,L14,AY14/P14*100),"")</f>
      </c>
      <c r="AV14" s="94">
        <f t="shared" si="14"/>
      </c>
      <c r="AY14" s="94">
        <f t="shared" si="15"/>
        <v>0</v>
      </c>
    </row>
    <row r="15" spans="1:51" ht="12.75">
      <c r="A15" s="29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2"/>
      <c r="M15" s="150" t="s">
        <v>41</v>
      </c>
      <c r="N15" s="34"/>
      <c r="O15" s="35">
        <v>50</v>
      </c>
      <c r="P15" s="36"/>
      <c r="Q15" s="35">
        <v>97</v>
      </c>
      <c r="R15" s="5"/>
      <c r="S15" s="38">
        <f>T15/Q15*100*-1</f>
        <v>-16.294427278644466</v>
      </c>
      <c r="T15" s="39">
        <f>SUM(W15:AF15)/O15*100</f>
        <v>15.805594460285132</v>
      </c>
      <c r="U15" s="40"/>
      <c r="V15" s="41"/>
      <c r="W15" s="38"/>
      <c r="X15" s="42"/>
      <c r="Y15" s="42"/>
      <c r="Z15" s="42">
        <f>Z$2*15.5%*$O15/100</f>
        <v>2.2557973930753565</v>
      </c>
      <c r="AA15" s="42">
        <f>AA$2*15.5%*$O15/100</f>
        <v>0.5727688798370673</v>
      </c>
      <c r="AB15" s="42">
        <f>AB$2*15%*$O15%</f>
        <v>1.3892346232179225</v>
      </c>
      <c r="AC15" s="42">
        <f>AC$2*6%*$O15%</f>
        <v>0.21703576374745417</v>
      </c>
      <c r="AD15" s="42">
        <f>AD$2*25%*$O15%</f>
        <v>1.820558044806517</v>
      </c>
      <c r="AE15" s="42">
        <f>AE$2*27%*$O15%</f>
        <v>1.6474025254582485</v>
      </c>
      <c r="AF15" s="39"/>
      <c r="AI15">
        <f t="shared" si="2"/>
      </c>
      <c r="AJ15">
        <f t="shared" si="3"/>
      </c>
      <c r="AK15">
        <f t="shared" si="4"/>
      </c>
      <c r="AL15">
        <f t="shared" si="5"/>
      </c>
      <c r="AM15">
        <f t="shared" si="6"/>
      </c>
      <c r="AN15">
        <f t="shared" si="7"/>
      </c>
      <c r="AO15">
        <f t="shared" si="8"/>
      </c>
      <c r="AP15">
        <f t="shared" si="9"/>
      </c>
      <c r="AQ15">
        <f t="shared" si="10"/>
      </c>
      <c r="AR15">
        <f t="shared" si="11"/>
      </c>
      <c r="AS15">
        <f t="shared" si="12"/>
      </c>
      <c r="AT15" s="46">
        <f t="shared" si="16"/>
      </c>
      <c r="AU15" s="94">
        <f>AV15/Q15*100*-1</f>
        <v>-16.294427278644466</v>
      </c>
      <c r="AV15" s="94">
        <f>IF(T15&lt;&gt;0,AY15/O15*100,"")</f>
        <v>15.805594460285132</v>
      </c>
      <c r="AY15" s="94">
        <f t="shared" si="15"/>
        <v>7.902797230142566</v>
      </c>
    </row>
    <row r="16" spans="1:51" ht="12.75">
      <c r="A16" s="29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2"/>
      <c r="M16" s="150" t="s">
        <v>42</v>
      </c>
      <c r="N16" s="34"/>
      <c r="O16" s="35">
        <v>150</v>
      </c>
      <c r="P16" s="36"/>
      <c r="Q16" s="35">
        <v>97</v>
      </c>
      <c r="R16" s="43"/>
      <c r="S16" s="38">
        <f>T16/Q16*100*-1</f>
        <v>-12.259352652906962</v>
      </c>
      <c r="T16" s="39">
        <f>SUM(W16:AF16)/O16*100</f>
        <v>11.891572073319754</v>
      </c>
      <c r="U16" s="40"/>
      <c r="V16" s="41"/>
      <c r="W16" s="38"/>
      <c r="X16" s="42"/>
      <c r="Y16" s="42"/>
      <c r="Z16" s="42">
        <f>Z$2*18.3%*$O16/100</f>
        <v>7.989888830957231</v>
      </c>
      <c r="AA16" s="42">
        <f>AA$2*18.3%*$O16/100</f>
        <v>2.0287104195519348</v>
      </c>
      <c r="AB16" s="42">
        <f>AB$2*3%*$O16%</f>
        <v>0.8335407739307535</v>
      </c>
      <c r="AC16" s="42">
        <f>AC$2*8%*$O16%</f>
        <v>0.8681430549898167</v>
      </c>
      <c r="AD16" s="42">
        <f>AD$2*28%*$O16%</f>
        <v>6.1170750305498975</v>
      </c>
      <c r="AE16" s="42">
        <f>AE$2*0%*$O16%</f>
        <v>0</v>
      </c>
      <c r="AF16" s="39"/>
      <c r="AI16">
        <f t="shared" si="2"/>
      </c>
      <c r="AJ16">
        <f t="shared" si="3"/>
      </c>
      <c r="AK16">
        <f t="shared" si="4"/>
      </c>
      <c r="AL16">
        <f t="shared" si="5"/>
      </c>
      <c r="AM16">
        <f t="shared" si="6"/>
      </c>
      <c r="AN16">
        <f t="shared" si="7"/>
      </c>
      <c r="AO16">
        <f t="shared" si="8"/>
      </c>
      <c r="AP16">
        <f t="shared" si="9"/>
      </c>
      <c r="AQ16">
        <f t="shared" si="10"/>
      </c>
      <c r="AR16">
        <f t="shared" si="11"/>
      </c>
      <c r="AS16">
        <f t="shared" si="12"/>
      </c>
      <c r="AT16" s="46">
        <f t="shared" si="16"/>
      </c>
      <c r="AU16" s="94">
        <f>AV16/Q16*100*-1</f>
        <v>-12.259352652906962</v>
      </c>
      <c r="AV16" s="94">
        <f>IF(T16&lt;&gt;0,AY16/O16*100,"")</f>
        <v>11.891572073319754</v>
      </c>
      <c r="AY16" s="94">
        <f t="shared" si="15"/>
        <v>17.837358109979633</v>
      </c>
    </row>
    <row r="17" spans="1:51" ht="12.75">
      <c r="A17" s="29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2"/>
      <c r="M17" s="150" t="s">
        <v>43</v>
      </c>
      <c r="N17" s="34"/>
      <c r="O17" s="35">
        <v>85</v>
      </c>
      <c r="P17" s="36"/>
      <c r="Q17" s="35">
        <v>97</v>
      </c>
      <c r="S17" s="38">
        <f>T17/Q17*100*-1</f>
        <v>-57.39013406681083</v>
      </c>
      <c r="T17" s="39">
        <f>SUM(W17:AF17)/O17*100</f>
        <v>55.668430044806506</v>
      </c>
      <c r="U17" s="40"/>
      <c r="V17" s="41"/>
      <c r="W17" s="38"/>
      <c r="X17" s="42"/>
      <c r="Y17" s="42"/>
      <c r="Z17" s="42">
        <f>Z$2*50.7%*$O17%</f>
        <v>12.543688858655807</v>
      </c>
      <c r="AA17" s="42">
        <f>AA$2*50.7%*$O17%</f>
        <v>3.184964500203666</v>
      </c>
      <c r="AB17" s="42">
        <f>AB$2*82%*$O17%</f>
        <v>12.910620431771891</v>
      </c>
      <c r="AC17" s="42">
        <f>AC$2*86%*$O17%</f>
        <v>5.288438109979633</v>
      </c>
      <c r="AD17" s="42">
        <f>AD$2*47%*$O17%</f>
        <v>5.8185035112016275</v>
      </c>
      <c r="AE17" s="42">
        <f>AE$2*73%*$O17%</f>
        <v>7.571950126272911</v>
      </c>
      <c r="AF17" s="39"/>
      <c r="AI17">
        <f t="shared" si="2"/>
      </c>
      <c r="AJ17">
        <f t="shared" si="3"/>
      </c>
      <c r="AK17">
        <f t="shared" si="4"/>
      </c>
      <c r="AL17">
        <f t="shared" si="5"/>
      </c>
      <c r="AM17">
        <f t="shared" si="6"/>
      </c>
      <c r="AN17">
        <f t="shared" si="7"/>
      </c>
      <c r="AO17">
        <f t="shared" si="8"/>
      </c>
      <c r="AP17">
        <f t="shared" si="9"/>
      </c>
      <c r="AQ17">
        <f t="shared" si="10"/>
      </c>
      <c r="AR17">
        <f t="shared" si="11"/>
      </c>
      <c r="AS17">
        <f t="shared" si="12"/>
      </c>
      <c r="AT17" s="46">
        <f t="shared" si="16"/>
      </c>
      <c r="AU17" s="94">
        <f>AV17/Q17*100*-1</f>
        <v>-57.39013406681083</v>
      </c>
      <c r="AV17" s="94">
        <f>IF(T17&lt;&gt;0,AY17/O17*100,"")</f>
        <v>55.668430044806506</v>
      </c>
      <c r="AY17" s="94">
        <f t="shared" si="15"/>
        <v>47.31816553808553</v>
      </c>
    </row>
    <row r="18" spans="1:51" ht="12.75">
      <c r="A18" s="29"/>
      <c r="B18" s="30"/>
      <c r="C18" s="30"/>
      <c r="D18" s="31"/>
      <c r="E18" s="31"/>
      <c r="F18" s="31"/>
      <c r="G18" s="31">
        <v>21.3</v>
      </c>
      <c r="H18" s="31"/>
      <c r="I18" s="31"/>
      <c r="J18" s="31"/>
      <c r="K18" s="31"/>
      <c r="L18" s="32">
        <f>SUM(A18:K18)</f>
        <v>21.3</v>
      </c>
      <c r="M18" s="150" t="s">
        <v>44</v>
      </c>
      <c r="N18" s="34"/>
      <c r="O18" s="35"/>
      <c r="P18" s="36">
        <v>70</v>
      </c>
      <c r="Q18" s="35"/>
      <c r="R18" s="37"/>
      <c r="S18" s="38"/>
      <c r="T18" s="39"/>
      <c r="U18" s="40"/>
      <c r="V18" s="41"/>
      <c r="W18" s="38">
        <f>L18*P18/100*0.175</f>
        <v>2.60925</v>
      </c>
      <c r="X18" s="42">
        <f>L18*P18/100*0.825</f>
        <v>12.300749999999999</v>
      </c>
      <c r="Y18" s="42">
        <f>X18*$Y$43</f>
        <v>13.268398678414096</v>
      </c>
      <c r="Z18" s="42"/>
      <c r="AA18" s="42"/>
      <c r="AB18" s="42"/>
      <c r="AC18" s="42"/>
      <c r="AD18" s="41"/>
      <c r="AE18" s="41"/>
      <c r="AF18" s="39"/>
      <c r="AI18">
        <f t="shared" si="2"/>
      </c>
      <c r="AJ18">
        <f t="shared" si="3"/>
      </c>
      <c r="AK18">
        <f t="shared" si="4"/>
      </c>
      <c r="AL18">
        <f t="shared" si="5"/>
      </c>
      <c r="AM18">
        <f t="shared" si="6"/>
      </c>
      <c r="AN18">
        <f t="shared" si="7"/>
      </c>
      <c r="AO18">
        <f t="shared" si="8"/>
        <v>22.68235525487728</v>
      </c>
      <c r="AP18">
        <f t="shared" si="9"/>
      </c>
      <c r="AQ18">
        <f t="shared" si="10"/>
      </c>
      <c r="AR18">
        <f t="shared" si="11"/>
      </c>
      <c r="AS18">
        <f t="shared" si="12"/>
      </c>
      <c r="AT18" s="46">
        <f t="shared" si="16"/>
        <v>22.68235525487728</v>
      </c>
      <c r="AV18" s="94">
        <f aca="true" t="shared" si="17" ref="AV18:AV41">IF(T18&lt;&gt;0,AY18/P18*100,"")</f>
      </c>
      <c r="AY18" s="94">
        <f t="shared" si="15"/>
        <v>15.877648678414095</v>
      </c>
    </row>
    <row r="19" spans="1:51" ht="12.75">
      <c r="A19" s="29"/>
      <c r="B19" s="30"/>
      <c r="C19" s="30">
        <v>73.8</v>
      </c>
      <c r="D19" s="31"/>
      <c r="E19" s="31"/>
      <c r="F19" s="31"/>
      <c r="G19" s="31"/>
      <c r="H19" s="31"/>
      <c r="I19" s="31"/>
      <c r="J19" s="31"/>
      <c r="K19" s="31"/>
      <c r="L19" s="32">
        <f>SUM(A19:K19)</f>
        <v>73.8</v>
      </c>
      <c r="M19" s="150" t="s">
        <v>45</v>
      </c>
      <c r="N19" s="34"/>
      <c r="O19" s="35"/>
      <c r="P19" s="36">
        <v>70</v>
      </c>
      <c r="Q19" s="35"/>
      <c r="R19" s="37"/>
      <c r="S19" s="38"/>
      <c r="T19" s="39"/>
      <c r="U19" s="40"/>
      <c r="V19" s="41"/>
      <c r="W19" s="38">
        <f>L19*P19/100*0.175</f>
        <v>9.040499999999998</v>
      </c>
      <c r="X19" s="42">
        <f>L19*P19/100*0.825</f>
        <v>42.619499999999995</v>
      </c>
      <c r="Y19" s="42">
        <f>X19*$Y$43</f>
        <v>45.97219823788546</v>
      </c>
      <c r="Z19" s="42"/>
      <c r="AA19" s="42"/>
      <c r="AB19" s="42"/>
      <c r="AC19" s="42"/>
      <c r="AD19" s="41"/>
      <c r="AE19" s="41"/>
      <c r="AF19" s="39"/>
      <c r="AI19">
        <f t="shared" si="2"/>
      </c>
      <c r="AJ19">
        <f t="shared" si="3"/>
      </c>
      <c r="AK19">
        <f t="shared" si="4"/>
        <v>78.58956891126493</v>
      </c>
      <c r="AL19">
        <f t="shared" si="5"/>
      </c>
      <c r="AM19">
        <f t="shared" si="6"/>
      </c>
      <c r="AN19">
        <f t="shared" si="7"/>
      </c>
      <c r="AO19">
        <f t="shared" si="8"/>
      </c>
      <c r="AP19">
        <f t="shared" si="9"/>
      </c>
      <c r="AQ19">
        <f t="shared" si="10"/>
      </c>
      <c r="AR19">
        <f t="shared" si="11"/>
      </c>
      <c r="AS19">
        <f t="shared" si="12"/>
      </c>
      <c r="AT19" s="46">
        <f t="shared" si="16"/>
        <v>78.58956891126493</v>
      </c>
      <c r="AV19" s="94">
        <f t="shared" si="17"/>
      </c>
      <c r="AY19" s="94">
        <f t="shared" si="15"/>
        <v>55.01269823788546</v>
      </c>
    </row>
    <row r="20" spans="1:51" ht="12.75">
      <c r="A20" s="29"/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150" t="s">
        <v>46</v>
      </c>
      <c r="N20" s="34"/>
      <c r="O20" s="35"/>
      <c r="P20" s="36">
        <v>250</v>
      </c>
      <c r="Q20" s="35">
        <v>97</v>
      </c>
      <c r="S20" s="38">
        <f>T20/Q20*100*-1</f>
        <v>-0.24742268041237112</v>
      </c>
      <c r="T20" s="39">
        <f>T2</f>
        <v>0.24</v>
      </c>
      <c r="U20" s="40"/>
      <c r="V20" s="39"/>
      <c r="W20" s="38">
        <f>T20*P20/100*0.175</f>
        <v>0.105</v>
      </c>
      <c r="X20" s="42">
        <f>T20*P20/100*0.825</f>
        <v>0.49499999999999994</v>
      </c>
      <c r="Y20" s="42">
        <f>X20*$Y$43</f>
        <v>0.5339395846444304</v>
      </c>
      <c r="Z20" s="42"/>
      <c r="AA20" s="42"/>
      <c r="AB20" s="42"/>
      <c r="AC20" s="42"/>
      <c r="AD20" s="41"/>
      <c r="AE20" s="41"/>
      <c r="AF20" s="39"/>
      <c r="AI20">
        <f t="shared" si="2"/>
      </c>
      <c r="AJ20">
        <f t="shared" si="3"/>
      </c>
      <c r="AK20">
        <f t="shared" si="4"/>
      </c>
      <c r="AL20">
        <f t="shared" si="5"/>
      </c>
      <c r="AM20">
        <f t="shared" si="6"/>
      </c>
      <c r="AN20">
        <f t="shared" si="7"/>
      </c>
      <c r="AO20">
        <f t="shared" si="8"/>
      </c>
      <c r="AP20">
        <f t="shared" si="9"/>
      </c>
      <c r="AQ20">
        <f t="shared" si="10"/>
      </c>
      <c r="AR20">
        <f t="shared" si="11"/>
      </c>
      <c r="AS20">
        <f t="shared" si="12"/>
      </c>
      <c r="AT20" s="46">
        <f t="shared" si="16"/>
      </c>
      <c r="AU20" s="94">
        <f>AV20/Q20*100*-1</f>
        <v>-0.2634802410904868</v>
      </c>
      <c r="AV20" s="94">
        <f t="shared" si="17"/>
        <v>0.25557583385777216</v>
      </c>
      <c r="AY20" s="94">
        <f t="shared" si="15"/>
        <v>0.6389395846444303</v>
      </c>
    </row>
    <row r="21" spans="1:51" ht="12.75">
      <c r="A21" s="29"/>
      <c r="B21" s="30"/>
      <c r="C21" s="30"/>
      <c r="D21" s="31"/>
      <c r="E21" s="31"/>
      <c r="F21" s="31">
        <f>5.5</f>
        <v>5.5</v>
      </c>
      <c r="G21" s="31"/>
      <c r="H21" s="31"/>
      <c r="I21" s="31"/>
      <c r="J21" s="31"/>
      <c r="K21" s="31"/>
      <c r="L21" s="32">
        <f>SUM(A21:K21)</f>
        <v>5.5</v>
      </c>
      <c r="M21" s="150" t="s">
        <v>47</v>
      </c>
      <c r="N21" s="34"/>
      <c r="O21" s="35"/>
      <c r="P21" s="36">
        <v>60</v>
      </c>
      <c r="Q21" s="35"/>
      <c r="R21" s="37"/>
      <c r="S21" s="38"/>
      <c r="T21" s="39"/>
      <c r="U21" s="40"/>
      <c r="V21" s="41"/>
      <c r="W21" s="38">
        <f>L21*P21/100*0.175</f>
        <v>0.5774999999999999</v>
      </c>
      <c r="X21" s="42">
        <f>L21*P21/100*0.825</f>
        <v>2.7224999999999997</v>
      </c>
      <c r="Y21" s="42">
        <f>X21*$Y$43</f>
        <v>2.9366677155443672</v>
      </c>
      <c r="Z21" s="42"/>
      <c r="AA21" s="42"/>
      <c r="AB21" s="42"/>
      <c r="AC21" s="42"/>
      <c r="AD21" s="41"/>
      <c r="AE21" s="41"/>
      <c r="AF21" s="39"/>
      <c r="AI21">
        <f t="shared" si="2"/>
      </c>
      <c r="AJ21">
        <f t="shared" si="3"/>
      </c>
      <c r="AK21">
        <f t="shared" si="4"/>
      </c>
      <c r="AL21">
        <f t="shared" si="5"/>
      </c>
      <c r="AM21">
        <f t="shared" si="6"/>
      </c>
      <c r="AN21">
        <f t="shared" si="7"/>
        <v>5.856946192573945</v>
      </c>
      <c r="AO21">
        <f t="shared" si="8"/>
      </c>
      <c r="AP21">
        <f t="shared" si="9"/>
      </c>
      <c r="AQ21">
        <f t="shared" si="10"/>
      </c>
      <c r="AR21">
        <f t="shared" si="11"/>
      </c>
      <c r="AS21">
        <f t="shared" si="12"/>
      </c>
      <c r="AT21" s="46">
        <f t="shared" si="16"/>
        <v>5.856946192573945</v>
      </c>
      <c r="AV21" s="94">
        <f t="shared" si="17"/>
      </c>
      <c r="AY21" s="94">
        <f t="shared" si="15"/>
        <v>3.5141677155443674</v>
      </c>
    </row>
    <row r="22" spans="1:51" ht="12.75">
      <c r="A22" s="29"/>
      <c r="B22" s="30"/>
      <c r="C22" s="30"/>
      <c r="D22" s="31"/>
      <c r="E22" s="31"/>
      <c r="F22" s="31"/>
      <c r="G22" s="31"/>
      <c r="H22" s="31">
        <f>5.5</f>
        <v>5.5</v>
      </c>
      <c r="I22" s="31"/>
      <c r="J22" s="31"/>
      <c r="K22" s="31"/>
      <c r="L22" s="32">
        <f>SUM(A22:K22)</f>
        <v>5.5</v>
      </c>
      <c r="M22" s="150" t="s">
        <v>48</v>
      </c>
      <c r="N22" s="34"/>
      <c r="O22" s="35"/>
      <c r="P22" s="36">
        <v>60</v>
      </c>
      <c r="Q22" s="35"/>
      <c r="R22" s="37"/>
      <c r="S22" s="38"/>
      <c r="T22" s="39"/>
      <c r="U22" s="40"/>
      <c r="V22" s="41"/>
      <c r="W22" s="38">
        <f>L22*P22/100*0.175</f>
        <v>0.5774999999999999</v>
      </c>
      <c r="X22" s="42">
        <f>L22*P22/100*0.825</f>
        <v>2.7224999999999997</v>
      </c>
      <c r="Y22" s="42">
        <f>X22*$Y$43</f>
        <v>2.9366677155443672</v>
      </c>
      <c r="Z22" s="42"/>
      <c r="AA22" s="42"/>
      <c r="AB22" s="42"/>
      <c r="AC22" s="42"/>
      <c r="AD22" s="41"/>
      <c r="AE22" s="41"/>
      <c r="AF22" s="39"/>
      <c r="AI22">
        <f t="shared" si="2"/>
      </c>
      <c r="AJ22">
        <f t="shared" si="3"/>
      </c>
      <c r="AK22">
        <f t="shared" si="4"/>
      </c>
      <c r="AL22">
        <f t="shared" si="5"/>
      </c>
      <c r="AM22">
        <f t="shared" si="6"/>
      </c>
      <c r="AN22">
        <f t="shared" si="7"/>
      </c>
      <c r="AO22">
        <f t="shared" si="8"/>
      </c>
      <c r="AP22">
        <f t="shared" si="9"/>
        <v>5.856946192573945</v>
      </c>
      <c r="AQ22">
        <f t="shared" si="10"/>
      </c>
      <c r="AR22">
        <f t="shared" si="11"/>
      </c>
      <c r="AS22">
        <f t="shared" si="12"/>
      </c>
      <c r="AT22" s="46">
        <f t="shared" si="16"/>
        <v>5.856946192573945</v>
      </c>
      <c r="AV22" s="94">
        <f t="shared" si="17"/>
      </c>
      <c r="AY22" s="94">
        <f t="shared" si="15"/>
        <v>3.5141677155443674</v>
      </c>
    </row>
    <row r="23" spans="1:51" ht="12.75">
      <c r="A23" s="44"/>
      <c r="B23" s="45"/>
      <c r="C23" s="46"/>
      <c r="D23" s="47"/>
      <c r="E23" s="47"/>
      <c r="F23" s="45">
        <v>40.5</v>
      </c>
      <c r="G23" s="47"/>
      <c r="H23" s="47"/>
      <c r="I23" s="47"/>
      <c r="J23" s="47"/>
      <c r="K23" s="47"/>
      <c r="L23" s="32">
        <f>SUM(A23:K23)</f>
        <v>40.5</v>
      </c>
      <c r="M23" s="151" t="s">
        <v>49</v>
      </c>
      <c r="N23" s="49"/>
      <c r="O23" s="50"/>
      <c r="P23" s="51">
        <v>84</v>
      </c>
      <c r="Q23" s="50"/>
      <c r="R23" s="52"/>
      <c r="S23" s="53"/>
      <c r="T23" s="54"/>
      <c r="U23" s="55">
        <f>L23*P23/100</f>
        <v>34.02</v>
      </c>
      <c r="V23" s="56"/>
      <c r="W23" s="53"/>
      <c r="X23" s="57"/>
      <c r="Y23" s="57"/>
      <c r="Z23" s="57"/>
      <c r="AA23" s="57"/>
      <c r="AB23" s="57"/>
      <c r="AC23" s="57"/>
      <c r="AD23" s="56"/>
      <c r="AE23" s="56"/>
      <c r="AF23" s="54"/>
      <c r="AI23">
        <f t="shared" si="2"/>
      </c>
      <c r="AJ23">
        <f t="shared" si="3"/>
      </c>
      <c r="AK23">
        <f t="shared" si="4"/>
      </c>
      <c r="AL23">
        <f t="shared" si="5"/>
      </c>
      <c r="AM23">
        <f t="shared" si="6"/>
      </c>
      <c r="AN23">
        <f t="shared" si="7"/>
        <v>43.12842196349906</v>
      </c>
      <c r="AO23">
        <f t="shared" si="8"/>
      </c>
      <c r="AP23">
        <f t="shared" si="9"/>
      </c>
      <c r="AQ23">
        <f t="shared" si="10"/>
      </c>
      <c r="AR23">
        <f t="shared" si="11"/>
      </c>
      <c r="AS23">
        <f t="shared" si="12"/>
      </c>
      <c r="AT23">
        <f>AW23/P23*100</f>
        <v>43.12842196349906</v>
      </c>
      <c r="AV23" s="94">
        <f t="shared" si="17"/>
      </c>
      <c r="AW23">
        <f>AW25-AW24</f>
        <v>36.22787444933921</v>
      </c>
      <c r="AY23" s="94">
        <f t="shared" si="15"/>
        <v>0</v>
      </c>
    </row>
    <row r="24" spans="1:51" ht="12.75">
      <c r="A24" s="44"/>
      <c r="B24" s="45"/>
      <c r="C24" s="45">
        <v>0.2</v>
      </c>
      <c r="D24" s="47"/>
      <c r="E24" s="47"/>
      <c r="F24" s="47"/>
      <c r="G24" s="47"/>
      <c r="H24" s="47"/>
      <c r="I24" s="47"/>
      <c r="J24" s="47"/>
      <c r="K24" s="47"/>
      <c r="L24" s="32">
        <f>SUM(A24:K24)</f>
        <v>0.2</v>
      </c>
      <c r="M24" s="151" t="s">
        <v>50</v>
      </c>
      <c r="N24" s="49"/>
      <c r="O24" s="50"/>
      <c r="P24" s="51">
        <v>95</v>
      </c>
      <c r="Q24" s="50"/>
      <c r="R24" s="52"/>
      <c r="S24" s="53"/>
      <c r="T24" s="54"/>
      <c r="U24" s="55">
        <f>L24*P24/100</f>
        <v>0.19</v>
      </c>
      <c r="V24" s="56"/>
      <c r="W24" s="53"/>
      <c r="X24" s="57"/>
      <c r="Y24" s="57"/>
      <c r="Z24" s="57"/>
      <c r="AA24" s="57"/>
      <c r="AB24" s="57"/>
      <c r="AC24" s="57"/>
      <c r="AD24" s="56"/>
      <c r="AE24" s="56"/>
      <c r="AF24" s="54"/>
      <c r="AI24">
        <f t="shared" si="2"/>
      </c>
      <c r="AJ24">
        <f t="shared" si="3"/>
      </c>
      <c r="AK24">
        <f t="shared" si="4"/>
        <v>0.2129798615481435</v>
      </c>
      <c r="AL24">
        <f t="shared" si="5"/>
      </c>
      <c r="AM24">
        <f t="shared" si="6"/>
      </c>
      <c r="AN24">
        <f t="shared" si="7"/>
      </c>
      <c r="AO24">
        <f t="shared" si="8"/>
      </c>
      <c r="AP24">
        <f t="shared" si="9"/>
      </c>
      <c r="AQ24">
        <f t="shared" si="10"/>
      </c>
      <c r="AR24">
        <f t="shared" si="11"/>
      </c>
      <c r="AS24">
        <f t="shared" si="12"/>
      </c>
      <c r="AT24">
        <f>AW24/P24*100</f>
        <v>0.2129798615481435</v>
      </c>
      <c r="AV24" s="94">
        <f t="shared" si="17"/>
      </c>
      <c r="AW24">
        <f>AW25/-U25*U24</f>
        <v>0.20233086847073634</v>
      </c>
      <c r="AY24" s="94">
        <f t="shared" si="15"/>
        <v>0</v>
      </c>
    </row>
    <row r="25" spans="1:51" ht="12.75">
      <c r="A25" s="44"/>
      <c r="B25" s="45"/>
      <c r="C25" s="45"/>
      <c r="D25" s="47"/>
      <c r="E25" s="47"/>
      <c r="F25" s="47"/>
      <c r="G25" s="47"/>
      <c r="H25" s="47"/>
      <c r="I25" s="47"/>
      <c r="J25" s="47"/>
      <c r="K25" s="47"/>
      <c r="L25" s="32"/>
      <c r="M25" s="151" t="s">
        <v>51</v>
      </c>
      <c r="N25" s="49"/>
      <c r="O25" s="50"/>
      <c r="P25" s="51"/>
      <c r="Q25" s="35"/>
      <c r="R25" s="50">
        <v>80</v>
      </c>
      <c r="S25" s="53"/>
      <c r="T25" s="54"/>
      <c r="U25" s="55">
        <f>-V25/(R25/100)</f>
        <v>-34.21</v>
      </c>
      <c r="V25" s="56">
        <f>SUM(U23:U24)*R25/100</f>
        <v>27.368000000000002</v>
      </c>
      <c r="W25" s="53">
        <f>V25*0.175</f>
        <v>4.7894</v>
      </c>
      <c r="X25" s="57">
        <f>V25-W25</f>
        <v>22.5786</v>
      </c>
      <c r="Y25" s="42">
        <f>X25*$Y$43</f>
        <v>24.354764254247957</v>
      </c>
      <c r="Z25" s="57"/>
      <c r="AA25" s="57"/>
      <c r="AB25" s="57"/>
      <c r="AC25" s="57"/>
      <c r="AD25" s="56"/>
      <c r="AE25" s="56"/>
      <c r="AF25" s="54"/>
      <c r="AI25">
        <f t="shared" si="2"/>
      </c>
      <c r="AJ25">
        <f t="shared" si="3"/>
      </c>
      <c r="AK25">
        <f t="shared" si="4"/>
      </c>
      <c r="AL25">
        <f t="shared" si="5"/>
      </c>
      <c r="AM25">
        <f t="shared" si="6"/>
      </c>
      <c r="AN25">
        <f t="shared" si="7"/>
      </c>
      <c r="AO25">
        <f t="shared" si="8"/>
      </c>
      <c r="AP25">
        <f t="shared" si="9"/>
      </c>
      <c r="AQ25">
        <f t="shared" si="10"/>
      </c>
      <c r="AR25">
        <f t="shared" si="11"/>
      </c>
      <c r="AS25">
        <f t="shared" si="12"/>
      </c>
      <c r="AV25" s="94">
        <f t="shared" si="17"/>
      </c>
      <c r="AW25">
        <f>AX25/R25*100</f>
        <v>36.43020531780995</v>
      </c>
      <c r="AX25" s="46">
        <f>AY25</f>
        <v>29.144164254247958</v>
      </c>
      <c r="AY25" s="94">
        <f>SUM(W25,Y25:AF25)</f>
        <v>29.144164254247958</v>
      </c>
    </row>
    <row r="26" spans="1:51" ht="12.75">
      <c r="A26" s="44"/>
      <c r="B26" s="45"/>
      <c r="C26" s="45"/>
      <c r="D26" s="47"/>
      <c r="E26" s="47"/>
      <c r="F26" s="47"/>
      <c r="G26" s="47"/>
      <c r="H26" s="47"/>
      <c r="I26" s="47">
        <v>4.2</v>
      </c>
      <c r="J26" s="47"/>
      <c r="K26" s="47"/>
      <c r="L26" s="32">
        <f>SUM(A26:K26)</f>
        <v>4.2</v>
      </c>
      <c r="M26" s="151" t="s">
        <v>52</v>
      </c>
      <c r="N26" s="49"/>
      <c r="O26" s="50"/>
      <c r="P26" s="51">
        <v>100</v>
      </c>
      <c r="Q26" s="50"/>
      <c r="R26" s="52"/>
      <c r="S26" s="53"/>
      <c r="T26" s="54"/>
      <c r="U26" s="55">
        <f>L26*P26/100</f>
        <v>4.2</v>
      </c>
      <c r="V26" s="56"/>
      <c r="W26" s="53"/>
      <c r="X26" s="57"/>
      <c r="Y26" s="57"/>
      <c r="Z26" s="57"/>
      <c r="AA26" s="57"/>
      <c r="AB26" s="57"/>
      <c r="AC26" s="57"/>
      <c r="AD26" s="56"/>
      <c r="AE26" s="56"/>
      <c r="AF26" s="54"/>
      <c r="AI26">
        <f t="shared" si="2"/>
      </c>
      <c r="AJ26">
        <f t="shared" si="3"/>
      </c>
      <c r="AK26">
        <f t="shared" si="4"/>
      </c>
      <c r="AL26">
        <f t="shared" si="5"/>
      </c>
      <c r="AM26">
        <f t="shared" si="6"/>
      </c>
      <c r="AN26">
        <f t="shared" si="7"/>
      </c>
      <c r="AO26">
        <f t="shared" si="8"/>
      </c>
      <c r="AP26">
        <f t="shared" si="9"/>
      </c>
      <c r="AQ26">
        <f t="shared" si="10"/>
        <v>4.2</v>
      </c>
      <c r="AR26">
        <f t="shared" si="11"/>
      </c>
      <c r="AS26">
        <f t="shared" si="12"/>
      </c>
      <c r="AT26">
        <f>AW26/P26*100</f>
        <v>4.2</v>
      </c>
      <c r="AV26" s="94">
        <f t="shared" si="17"/>
      </c>
      <c r="AW26" s="94">
        <f>U26</f>
        <v>4.2</v>
      </c>
      <c r="AY26" s="94">
        <f t="shared" si="15"/>
        <v>0</v>
      </c>
    </row>
    <row r="27" spans="1:51" ht="12.75">
      <c r="A27" s="44"/>
      <c r="B27" s="45"/>
      <c r="C27" s="45"/>
      <c r="D27" s="47"/>
      <c r="E27" s="47"/>
      <c r="F27" s="47"/>
      <c r="G27" s="47"/>
      <c r="H27" s="47">
        <v>14.5</v>
      </c>
      <c r="I27" s="47"/>
      <c r="J27" s="47"/>
      <c r="K27" s="47"/>
      <c r="L27" s="32">
        <f>SUM(A27:K27)</f>
        <v>14.5</v>
      </c>
      <c r="M27" s="151" t="s">
        <v>53</v>
      </c>
      <c r="N27" s="49"/>
      <c r="O27" s="50"/>
      <c r="P27" s="51">
        <v>100</v>
      </c>
      <c r="Q27" s="50"/>
      <c r="R27" s="52"/>
      <c r="S27" s="53"/>
      <c r="T27" s="54"/>
      <c r="U27" s="55">
        <f>L27*P27/100</f>
        <v>14.5</v>
      </c>
      <c r="V27" s="56"/>
      <c r="W27" s="53"/>
      <c r="X27" s="57"/>
      <c r="Y27" s="57"/>
      <c r="Z27" s="57"/>
      <c r="AA27" s="57"/>
      <c r="AB27" s="57"/>
      <c r="AC27" s="57"/>
      <c r="AD27" s="56"/>
      <c r="AE27" s="56"/>
      <c r="AF27" s="54"/>
      <c r="AI27">
        <f t="shared" si="2"/>
      </c>
      <c r="AJ27">
        <f t="shared" si="3"/>
      </c>
      <c r="AK27">
        <f t="shared" si="4"/>
      </c>
      <c r="AL27">
        <f t="shared" si="5"/>
      </c>
      <c r="AM27">
        <f t="shared" si="6"/>
      </c>
      <c r="AN27">
        <f t="shared" si="7"/>
      </c>
      <c r="AO27">
        <f t="shared" si="8"/>
      </c>
      <c r="AP27">
        <f t="shared" si="9"/>
        <v>15.713617054751417</v>
      </c>
      <c r="AQ27">
        <f t="shared" si="10"/>
      </c>
      <c r="AR27">
        <f t="shared" si="11"/>
      </c>
      <c r="AS27">
        <f t="shared" si="12"/>
      </c>
      <c r="AT27">
        <f>AW27/P27*100</f>
        <v>15.713617054751417</v>
      </c>
      <c r="AV27" s="94">
        <f t="shared" si="17"/>
      </c>
      <c r="AW27" s="94">
        <f>AW29-AW28-AW26</f>
        <v>15.713617054751417</v>
      </c>
      <c r="AY27" s="94">
        <f t="shared" si="15"/>
        <v>0</v>
      </c>
    </row>
    <row r="28" spans="1:51" ht="12.75">
      <c r="A28" s="44"/>
      <c r="B28" s="45"/>
      <c r="C28" s="45">
        <v>0</v>
      </c>
      <c r="D28" s="47"/>
      <c r="E28" s="47"/>
      <c r="F28" s="47"/>
      <c r="G28" s="47"/>
      <c r="H28" s="47"/>
      <c r="I28" s="47"/>
      <c r="J28" s="47"/>
      <c r="K28" s="47"/>
      <c r="L28" s="32">
        <f>SUM(A28:K28)</f>
        <v>0</v>
      </c>
      <c r="M28" s="151" t="s">
        <v>54</v>
      </c>
      <c r="N28" s="49"/>
      <c r="O28" s="50"/>
      <c r="P28" s="51">
        <v>90</v>
      </c>
      <c r="Q28" s="50"/>
      <c r="R28" s="52"/>
      <c r="S28" s="53"/>
      <c r="T28" s="54"/>
      <c r="U28" s="55">
        <f>L28*P28/100</f>
        <v>0</v>
      </c>
      <c r="V28" s="56"/>
      <c r="W28" s="53"/>
      <c r="X28" s="57"/>
      <c r="Y28" s="57"/>
      <c r="Z28" s="57"/>
      <c r="AA28" s="57"/>
      <c r="AB28" s="57"/>
      <c r="AC28" s="57"/>
      <c r="AD28" s="56"/>
      <c r="AE28" s="56"/>
      <c r="AF28" s="54"/>
      <c r="AI28">
        <f t="shared" si="2"/>
      </c>
      <c r="AJ28">
        <f t="shared" si="3"/>
      </c>
      <c r="AK28">
        <f t="shared" si="4"/>
      </c>
      <c r="AL28">
        <f t="shared" si="5"/>
      </c>
      <c r="AM28">
        <f t="shared" si="6"/>
      </c>
      <c r="AN28">
        <f t="shared" si="7"/>
      </c>
      <c r="AO28">
        <f t="shared" si="8"/>
      </c>
      <c r="AP28">
        <f t="shared" si="9"/>
      </c>
      <c r="AQ28">
        <f t="shared" si="10"/>
      </c>
      <c r="AR28">
        <f t="shared" si="11"/>
      </c>
      <c r="AS28">
        <f t="shared" si="12"/>
      </c>
      <c r="AT28" s="46">
        <f>IF(L28&lt;&gt;0,IF(Y28=0,L28,AY28/P28*100),"")</f>
      </c>
      <c r="AV28" s="94">
        <f t="shared" si="17"/>
      </c>
      <c r="AW28">
        <f>AW29/-U29*U28</f>
        <v>0</v>
      </c>
      <c r="AY28" s="94">
        <f t="shared" si="15"/>
        <v>0</v>
      </c>
    </row>
    <row r="29" spans="1:51" ht="12.75">
      <c r="A29" s="44"/>
      <c r="B29" s="45"/>
      <c r="C29" s="45"/>
      <c r="D29" s="47"/>
      <c r="E29" s="47"/>
      <c r="F29" s="47"/>
      <c r="G29" s="47"/>
      <c r="H29" s="47"/>
      <c r="I29" s="47"/>
      <c r="J29" s="47"/>
      <c r="K29" s="47"/>
      <c r="L29" s="32"/>
      <c r="M29" s="151" t="s">
        <v>55</v>
      </c>
      <c r="N29" s="49"/>
      <c r="O29" s="50"/>
      <c r="P29" s="51"/>
      <c r="Q29" s="50"/>
      <c r="R29" s="52">
        <v>70</v>
      </c>
      <c r="S29" s="53"/>
      <c r="T29" s="54"/>
      <c r="U29" s="55">
        <f>-SUM(U26:U28)</f>
        <v>-18.7</v>
      </c>
      <c r="V29" s="56">
        <f>-U29*R29/100</f>
        <v>13.09</v>
      </c>
      <c r="W29" s="53">
        <f>V29*0.175</f>
        <v>2.2907499999999996</v>
      </c>
      <c r="X29" s="57">
        <f>V29-W29</f>
        <v>10.79925</v>
      </c>
      <c r="Y29" s="42">
        <f>X29*$Y$43</f>
        <v>11.648781938325993</v>
      </c>
      <c r="Z29" s="57"/>
      <c r="AA29" s="57"/>
      <c r="AB29" s="57"/>
      <c r="AC29" s="57"/>
      <c r="AD29" s="56"/>
      <c r="AE29" s="56"/>
      <c r="AF29" s="54"/>
      <c r="AI29">
        <f t="shared" si="2"/>
      </c>
      <c r="AJ29">
        <f t="shared" si="3"/>
      </c>
      <c r="AK29">
        <f t="shared" si="4"/>
      </c>
      <c r="AL29">
        <f t="shared" si="5"/>
      </c>
      <c r="AM29">
        <f t="shared" si="6"/>
      </c>
      <c r="AN29">
        <f t="shared" si="7"/>
      </c>
      <c r="AO29">
        <f t="shared" si="8"/>
      </c>
      <c r="AP29">
        <f t="shared" si="9"/>
      </c>
      <c r="AQ29">
        <f t="shared" si="10"/>
      </c>
      <c r="AR29">
        <f t="shared" si="11"/>
      </c>
      <c r="AS29">
        <f t="shared" si="12"/>
      </c>
      <c r="AT29" s="46">
        <f>IF(L29&lt;&gt;0,IF(Y29=0,L29,AY29/P29*100),"")</f>
      </c>
      <c r="AV29" s="94">
        <f t="shared" si="17"/>
      </c>
      <c r="AW29">
        <f>AX29/R29*100</f>
        <v>19.913617054751416</v>
      </c>
      <c r="AX29" s="46">
        <f>AY29</f>
        <v>13.939531938325992</v>
      </c>
      <c r="AY29" s="94">
        <f t="shared" si="15"/>
        <v>13.939531938325992</v>
      </c>
    </row>
    <row r="30" spans="1:51" ht="12.75">
      <c r="A30" s="44"/>
      <c r="B30" s="45"/>
      <c r="C30" s="45"/>
      <c r="D30" s="47"/>
      <c r="E30" s="47"/>
      <c r="F30" s="47">
        <v>14.8</v>
      </c>
      <c r="G30" s="47"/>
      <c r="H30" s="47"/>
      <c r="I30" s="47"/>
      <c r="J30" s="47"/>
      <c r="K30" s="47"/>
      <c r="L30" s="32">
        <f>SUM(A30:K30)</f>
        <v>14.8</v>
      </c>
      <c r="M30" s="151" t="s">
        <v>56</v>
      </c>
      <c r="N30" s="49"/>
      <c r="O30" s="50"/>
      <c r="P30" s="51">
        <v>88</v>
      </c>
      <c r="Q30" s="50"/>
      <c r="R30" s="52"/>
      <c r="S30" s="53"/>
      <c r="T30" s="54"/>
      <c r="U30" s="55">
        <f>L30*P30/100</f>
        <v>13.024000000000001</v>
      </c>
      <c r="V30" s="56"/>
      <c r="W30" s="53"/>
      <c r="X30" s="57"/>
      <c r="Y30" s="57"/>
      <c r="Z30" s="57"/>
      <c r="AA30" s="57"/>
      <c r="AB30" s="57"/>
      <c r="AC30" s="57"/>
      <c r="AD30" s="56"/>
      <c r="AE30" s="56"/>
      <c r="AF30" s="54"/>
      <c r="AI30">
        <f t="shared" si="2"/>
      </c>
      <c r="AJ30">
        <f t="shared" si="3"/>
      </c>
      <c r="AK30">
        <f t="shared" si="4"/>
      </c>
      <c r="AL30">
        <f t="shared" si="5"/>
      </c>
      <c r="AM30">
        <f t="shared" si="6"/>
      </c>
      <c r="AN30">
        <f t="shared" si="7"/>
        <v>15.760509754562621</v>
      </c>
      <c r="AO30">
        <f t="shared" si="8"/>
      </c>
      <c r="AP30">
        <f t="shared" si="9"/>
      </c>
      <c r="AQ30">
        <f t="shared" si="10"/>
      </c>
      <c r="AR30">
        <f t="shared" si="11"/>
      </c>
      <c r="AS30">
        <f t="shared" si="12"/>
      </c>
      <c r="AT30">
        <f>AW30/P30*100</f>
        <v>15.760509754562621</v>
      </c>
      <c r="AV30" s="94">
        <f aca="true" t="shared" si="18" ref="AV30:AV35">IF(T30&lt;&gt;0,AY30/P30*100,"")</f>
      </c>
      <c r="AW30">
        <f>AW32-AW31</f>
        <v>13.869248584015107</v>
      </c>
      <c r="AY30" s="94">
        <f t="shared" si="15"/>
        <v>0</v>
      </c>
    </row>
    <row r="31" spans="1:51" ht="12.75">
      <c r="A31" s="44"/>
      <c r="B31" s="45"/>
      <c r="C31" s="45">
        <v>0.1</v>
      </c>
      <c r="D31" s="47"/>
      <c r="E31" s="47"/>
      <c r="F31" s="47"/>
      <c r="G31" s="47"/>
      <c r="H31" s="47"/>
      <c r="I31" s="47"/>
      <c r="J31" s="47"/>
      <c r="K31" s="47"/>
      <c r="L31" s="32">
        <f>SUM(A31:K31)</f>
        <v>0.1</v>
      </c>
      <c r="M31" s="151" t="s">
        <v>57</v>
      </c>
      <c r="N31" s="49"/>
      <c r="O31" s="50"/>
      <c r="P31" s="51">
        <v>90</v>
      </c>
      <c r="Q31" s="50"/>
      <c r="R31" s="52"/>
      <c r="S31" s="53"/>
      <c r="T31" s="54"/>
      <c r="U31" s="55">
        <f>L31*P31/100</f>
        <v>0.09</v>
      </c>
      <c r="V31" s="56"/>
      <c r="W31" s="53"/>
      <c r="X31" s="57"/>
      <c r="Y31" s="57"/>
      <c r="Z31" s="57"/>
      <c r="AA31" s="57"/>
      <c r="AB31" s="57"/>
      <c r="AC31" s="57"/>
      <c r="AD31" s="56"/>
      <c r="AE31" s="56"/>
      <c r="AF31" s="54"/>
      <c r="AI31">
        <f t="shared" si="2"/>
      </c>
      <c r="AJ31">
        <f t="shared" si="3"/>
      </c>
      <c r="AK31">
        <f t="shared" si="4"/>
        <v>0.10648993077407176</v>
      </c>
      <c r="AL31">
        <f t="shared" si="5"/>
      </c>
      <c r="AM31">
        <f t="shared" si="6"/>
      </c>
      <c r="AN31">
        <f t="shared" si="7"/>
      </c>
      <c r="AO31">
        <f t="shared" si="8"/>
      </c>
      <c r="AP31">
        <f t="shared" si="9"/>
      </c>
      <c r="AQ31">
        <f t="shared" si="10"/>
      </c>
      <c r="AR31">
        <f t="shared" si="11"/>
      </c>
      <c r="AS31">
        <f t="shared" si="12"/>
      </c>
      <c r="AT31">
        <f>AW31/P31*100</f>
        <v>0.10648993077407176</v>
      </c>
      <c r="AV31" s="94">
        <f t="shared" si="18"/>
      </c>
      <c r="AW31">
        <f>AW32/-U32*U31</f>
        <v>0.09584093769666459</v>
      </c>
      <c r="AY31" s="94">
        <f t="shared" si="15"/>
        <v>0</v>
      </c>
    </row>
    <row r="32" spans="1:51" ht="12.75">
      <c r="A32" s="44"/>
      <c r="B32" s="45"/>
      <c r="C32" s="45"/>
      <c r="D32" s="47"/>
      <c r="E32" s="47"/>
      <c r="F32" s="47"/>
      <c r="G32" s="47"/>
      <c r="H32" s="47"/>
      <c r="I32" s="47"/>
      <c r="J32" s="47"/>
      <c r="K32" s="47"/>
      <c r="L32" s="32"/>
      <c r="M32" s="151" t="s">
        <v>58</v>
      </c>
      <c r="N32" s="49"/>
      <c r="O32" s="50"/>
      <c r="P32" s="51"/>
      <c r="Q32" s="50"/>
      <c r="R32" s="52">
        <v>75</v>
      </c>
      <c r="S32" s="53"/>
      <c r="T32" s="54"/>
      <c r="U32" s="55">
        <f>-SUM(U30:U31)</f>
        <v>-13.114</v>
      </c>
      <c r="V32" s="56">
        <f>-U32*R32/100</f>
        <v>9.835500000000001</v>
      </c>
      <c r="W32" s="53">
        <f>V32*0.175</f>
        <v>1.7212125000000003</v>
      </c>
      <c r="X32" s="57">
        <f>V32-W32</f>
        <v>8.114287500000001</v>
      </c>
      <c r="Y32" s="42">
        <f>X32*$Y$43</f>
        <v>8.752604641283828</v>
      </c>
      <c r="Z32" s="57"/>
      <c r="AA32" s="57"/>
      <c r="AB32" s="57"/>
      <c r="AC32" s="57"/>
      <c r="AD32" s="56"/>
      <c r="AE32" s="56"/>
      <c r="AF32" s="54"/>
      <c r="AI32">
        <f t="shared" si="2"/>
      </c>
      <c r="AJ32">
        <f t="shared" si="3"/>
      </c>
      <c r="AK32">
        <f t="shared" si="4"/>
      </c>
      <c r="AL32">
        <f t="shared" si="5"/>
      </c>
      <c r="AM32">
        <f t="shared" si="6"/>
      </c>
      <c r="AN32">
        <f t="shared" si="7"/>
      </c>
      <c r="AO32">
        <f t="shared" si="8"/>
      </c>
      <c r="AP32">
        <f t="shared" si="9"/>
      </c>
      <c r="AQ32">
        <f t="shared" si="10"/>
      </c>
      <c r="AR32">
        <f t="shared" si="11"/>
      </c>
      <c r="AS32">
        <f t="shared" si="12"/>
      </c>
      <c r="AV32" s="94">
        <f t="shared" si="18"/>
      </c>
      <c r="AW32">
        <f>AX32/R32*100</f>
        <v>13.965089521711771</v>
      </c>
      <c r="AX32" s="46">
        <f>AY32</f>
        <v>10.473817141283828</v>
      </c>
      <c r="AY32" s="94">
        <f t="shared" si="15"/>
        <v>10.473817141283828</v>
      </c>
    </row>
    <row r="33" spans="1:51" ht="12.75">
      <c r="A33" s="44"/>
      <c r="B33" s="45"/>
      <c r="C33" s="45"/>
      <c r="D33" s="47"/>
      <c r="E33" s="47"/>
      <c r="F33" s="47">
        <v>18</v>
      </c>
      <c r="G33" s="47"/>
      <c r="H33" s="47"/>
      <c r="I33" s="47"/>
      <c r="J33" s="47"/>
      <c r="K33" s="47"/>
      <c r="L33" s="32">
        <f>SUM(A33:K33)</f>
        <v>18</v>
      </c>
      <c r="M33" s="151" t="s">
        <v>98</v>
      </c>
      <c r="N33" s="49"/>
      <c r="O33" s="50"/>
      <c r="P33" s="51">
        <v>88</v>
      </c>
      <c r="Q33" s="50"/>
      <c r="R33" s="52"/>
      <c r="S33" s="53"/>
      <c r="T33" s="54"/>
      <c r="U33" s="55">
        <f>L33*P33/100</f>
        <v>15.84</v>
      </c>
      <c r="V33" s="56"/>
      <c r="W33" s="53"/>
      <c r="X33" s="57"/>
      <c r="Y33" s="57"/>
      <c r="Z33" s="57"/>
      <c r="AA33" s="57"/>
      <c r="AB33" s="57"/>
      <c r="AC33" s="57"/>
      <c r="AD33" s="56"/>
      <c r="AE33" s="56"/>
      <c r="AF33" s="54"/>
      <c r="AI33">
        <f aca="true" t="shared" si="19" ref="AI33:AS35">IF(A33&lt;&gt;0,$AT33,"")</f>
      </c>
      <c r="AJ33">
        <f t="shared" si="19"/>
      </c>
      <c r="AK33">
        <f t="shared" si="19"/>
      </c>
      <c r="AL33">
        <f t="shared" si="19"/>
      </c>
      <c r="AM33">
        <f t="shared" si="19"/>
      </c>
      <c r="AN33">
        <f t="shared" si="19"/>
        <v>19.16818753933292</v>
      </c>
      <c r="AO33">
        <f t="shared" si="19"/>
      </c>
      <c r="AP33">
        <f t="shared" si="19"/>
      </c>
      <c r="AQ33">
        <f t="shared" si="19"/>
      </c>
      <c r="AR33">
        <f t="shared" si="19"/>
      </c>
      <c r="AS33">
        <f t="shared" si="19"/>
      </c>
      <c r="AT33">
        <f>AW33/P33*100</f>
        <v>19.16818753933292</v>
      </c>
      <c r="AV33" s="94">
        <f t="shared" si="18"/>
      </c>
      <c r="AW33">
        <f>AW35-AW34</f>
        <v>16.868005034612967</v>
      </c>
      <c r="AY33" s="94">
        <f t="shared" si="15"/>
        <v>0</v>
      </c>
    </row>
    <row r="34" spans="1:51" ht="12.75">
      <c r="A34" s="44"/>
      <c r="B34" s="45"/>
      <c r="C34" s="45">
        <v>0.02</v>
      </c>
      <c r="D34" s="47"/>
      <c r="E34" s="47"/>
      <c r="F34" s="47"/>
      <c r="G34" s="47"/>
      <c r="H34" s="47"/>
      <c r="I34" s="47"/>
      <c r="J34" s="47"/>
      <c r="K34" s="47"/>
      <c r="L34" s="32">
        <f>SUM(A34:K34)</f>
        <v>0.02</v>
      </c>
      <c r="M34" s="151" t="s">
        <v>99</v>
      </c>
      <c r="N34" s="49"/>
      <c r="O34" s="50"/>
      <c r="P34" s="51">
        <v>90</v>
      </c>
      <c r="Q34" s="50"/>
      <c r="R34" s="52"/>
      <c r="S34" s="53"/>
      <c r="T34" s="54"/>
      <c r="U34" s="55">
        <f>L34*P34/100</f>
        <v>0.018000000000000002</v>
      </c>
      <c r="V34" s="56"/>
      <c r="W34" s="53"/>
      <c r="X34" s="57"/>
      <c r="Y34" s="57"/>
      <c r="Z34" s="57"/>
      <c r="AA34" s="57"/>
      <c r="AB34" s="57"/>
      <c r="AC34" s="57"/>
      <c r="AD34" s="56"/>
      <c r="AE34" s="56"/>
      <c r="AF34" s="54"/>
      <c r="AI34">
        <f t="shared" si="19"/>
      </c>
      <c r="AJ34">
        <f t="shared" si="19"/>
      </c>
      <c r="AK34">
        <f t="shared" si="19"/>
        <v>0.021297986154814354</v>
      </c>
      <c r="AL34">
        <f t="shared" si="19"/>
      </c>
      <c r="AM34">
        <f t="shared" si="19"/>
      </c>
      <c r="AN34">
        <f t="shared" si="19"/>
      </c>
      <c r="AO34">
        <f t="shared" si="19"/>
      </c>
      <c r="AP34">
        <f t="shared" si="19"/>
      </c>
      <c r="AQ34">
        <f t="shared" si="19"/>
      </c>
      <c r="AR34">
        <f t="shared" si="19"/>
      </c>
      <c r="AS34">
        <f t="shared" si="19"/>
      </c>
      <c r="AT34">
        <f>AW34/P34*100</f>
        <v>0.021297986154814354</v>
      </c>
      <c r="AV34" s="94">
        <f t="shared" si="18"/>
      </c>
      <c r="AW34">
        <f>AW35/-U35*U34</f>
        <v>0.01916818753933292</v>
      </c>
      <c r="AY34" s="94">
        <f t="shared" si="15"/>
        <v>0</v>
      </c>
    </row>
    <row r="35" spans="1:51" ht="12.75">
      <c r="A35" s="44"/>
      <c r="B35" s="45"/>
      <c r="C35" s="45"/>
      <c r="D35" s="47"/>
      <c r="E35" s="47"/>
      <c r="F35" s="47"/>
      <c r="G35" s="47"/>
      <c r="H35" s="47"/>
      <c r="I35" s="47"/>
      <c r="J35" s="47"/>
      <c r="K35" s="47"/>
      <c r="L35" s="32">
        <f>SUM(A35:K35)</f>
        <v>0</v>
      </c>
      <c r="M35" s="151" t="s">
        <v>100</v>
      </c>
      <c r="N35" s="49"/>
      <c r="O35" s="50"/>
      <c r="P35" s="51"/>
      <c r="Q35" s="50"/>
      <c r="R35" s="52">
        <v>75</v>
      </c>
      <c r="S35" s="53"/>
      <c r="T35" s="54"/>
      <c r="U35" s="55">
        <f>-SUM(U33:U34)</f>
        <v>-15.858</v>
      </c>
      <c r="V35" s="56">
        <f>-U35*R35/100</f>
        <v>11.893500000000001</v>
      </c>
      <c r="W35" s="53">
        <f>V35*0.175</f>
        <v>2.0813625</v>
      </c>
      <c r="X35" s="57">
        <f>V35-W35</f>
        <v>9.812137500000002</v>
      </c>
      <c r="Y35" s="42">
        <f>X35*$Y$43</f>
        <v>10.584017416614225</v>
      </c>
      <c r="Z35" s="57"/>
      <c r="AA35" s="57"/>
      <c r="AB35" s="57"/>
      <c r="AC35" s="57"/>
      <c r="AD35" s="56"/>
      <c r="AE35" s="56"/>
      <c r="AF35" s="54"/>
      <c r="AI35">
        <f t="shared" si="19"/>
      </c>
      <c r="AJ35">
        <f t="shared" si="19"/>
      </c>
      <c r="AK35">
        <f t="shared" si="19"/>
      </c>
      <c r="AL35">
        <f t="shared" si="19"/>
      </c>
      <c r="AM35">
        <f t="shared" si="19"/>
      </c>
      <c r="AN35">
        <f t="shared" si="19"/>
      </c>
      <c r="AO35">
        <f t="shared" si="19"/>
      </c>
      <c r="AP35">
        <f t="shared" si="19"/>
      </c>
      <c r="AQ35">
        <f t="shared" si="19"/>
      </c>
      <c r="AR35">
        <f t="shared" si="19"/>
      </c>
      <c r="AS35">
        <f t="shared" si="19"/>
      </c>
      <c r="AV35" s="94">
        <f t="shared" si="18"/>
      </c>
      <c r="AW35">
        <f>AX35/R35*100</f>
        <v>16.8871732221523</v>
      </c>
      <c r="AX35" s="46">
        <f>AY35</f>
        <v>12.665379916614224</v>
      </c>
      <c r="AY35" s="94">
        <f t="shared" si="15"/>
        <v>12.665379916614224</v>
      </c>
    </row>
    <row r="36" spans="1:51" ht="12.75">
      <c r="A36" s="44"/>
      <c r="B36" s="45"/>
      <c r="C36" s="45"/>
      <c r="D36" s="47"/>
      <c r="E36" s="47">
        <v>48.5</v>
      </c>
      <c r="F36" s="47"/>
      <c r="G36" s="47"/>
      <c r="H36" s="47"/>
      <c r="I36" s="47"/>
      <c r="J36" s="47"/>
      <c r="K36" s="47"/>
      <c r="L36" s="32">
        <f aca="true" t="shared" si="20" ref="L36:L41">SUM(A36:K36)</f>
        <v>48.5</v>
      </c>
      <c r="M36" s="151" t="s">
        <v>59</v>
      </c>
      <c r="N36" s="49"/>
      <c r="O36" s="50">
        <v>20</v>
      </c>
      <c r="P36" s="51"/>
      <c r="Q36" s="50"/>
      <c r="R36" s="52"/>
      <c r="S36" s="53"/>
      <c r="T36" s="54"/>
      <c r="U36" s="55"/>
      <c r="V36" s="56"/>
      <c r="W36" s="53"/>
      <c r="X36" s="57"/>
      <c r="Y36" s="57"/>
      <c r="Z36" s="57"/>
      <c r="AA36" s="57"/>
      <c r="AB36" s="57"/>
      <c r="AC36" s="57"/>
      <c r="AD36" s="56"/>
      <c r="AE36" s="56"/>
      <c r="AF36" s="54">
        <f aca="true" t="shared" si="21" ref="AF36:AF41">L36*O36/100</f>
        <v>9.7</v>
      </c>
      <c r="AI36">
        <f t="shared" si="2"/>
      </c>
      <c r="AJ36">
        <f t="shared" si="3"/>
      </c>
      <c r="AK36">
        <f t="shared" si="4"/>
      </c>
      <c r="AL36">
        <f t="shared" si="5"/>
      </c>
      <c r="AM36">
        <f t="shared" si="6"/>
        <v>48.5</v>
      </c>
      <c r="AN36">
        <f t="shared" si="7"/>
      </c>
      <c r="AO36">
        <f t="shared" si="8"/>
      </c>
      <c r="AP36">
        <f t="shared" si="9"/>
      </c>
      <c r="AQ36">
        <f t="shared" si="10"/>
      </c>
      <c r="AR36">
        <f t="shared" si="11"/>
      </c>
      <c r="AS36">
        <f t="shared" si="12"/>
      </c>
      <c r="AT36" s="46">
        <f aca="true" t="shared" si="22" ref="AT36:AT41">IF(L36&lt;&gt;0,IF(Y36=0,L36,AY36/O36*100),"")</f>
        <v>48.5</v>
      </c>
      <c r="AV36" s="94">
        <f t="shared" si="17"/>
      </c>
      <c r="AY36" s="94">
        <f t="shared" si="15"/>
        <v>9.7</v>
      </c>
    </row>
    <row r="37" spans="1:51" ht="12.75">
      <c r="A37" s="44"/>
      <c r="B37" s="45"/>
      <c r="C37" s="45"/>
      <c r="D37" s="47">
        <f>67.1/65.1*16</f>
        <v>16.491551459293394</v>
      </c>
      <c r="E37" s="47"/>
      <c r="F37" s="47"/>
      <c r="G37" s="47"/>
      <c r="H37" s="47"/>
      <c r="I37" s="47"/>
      <c r="J37" s="47"/>
      <c r="K37" s="47"/>
      <c r="L37" s="32">
        <f t="shared" si="20"/>
        <v>16.491551459293394</v>
      </c>
      <c r="M37" s="151" t="s">
        <v>60</v>
      </c>
      <c r="N37" s="49"/>
      <c r="O37" s="50">
        <v>25</v>
      </c>
      <c r="P37" s="51"/>
      <c r="Q37" s="50"/>
      <c r="R37" s="52"/>
      <c r="S37" s="53"/>
      <c r="T37" s="54"/>
      <c r="U37" s="55"/>
      <c r="V37" s="56"/>
      <c r="W37" s="53"/>
      <c r="X37" s="57"/>
      <c r="Y37" s="57"/>
      <c r="Z37" s="57"/>
      <c r="AA37" s="57"/>
      <c r="AB37" s="57"/>
      <c r="AC37" s="57"/>
      <c r="AD37" s="56"/>
      <c r="AE37" s="56"/>
      <c r="AF37" s="54">
        <f t="shared" si="21"/>
        <v>4.1228878648233485</v>
      </c>
      <c r="AI37">
        <f t="shared" si="2"/>
      </c>
      <c r="AJ37">
        <f t="shared" si="3"/>
      </c>
      <c r="AK37">
        <f t="shared" si="4"/>
      </c>
      <c r="AL37">
        <f t="shared" si="5"/>
        <v>16.491551459293394</v>
      </c>
      <c r="AM37">
        <f t="shared" si="6"/>
      </c>
      <c r="AN37">
        <f t="shared" si="7"/>
      </c>
      <c r="AO37">
        <f t="shared" si="8"/>
      </c>
      <c r="AP37">
        <f t="shared" si="9"/>
      </c>
      <c r="AQ37">
        <f t="shared" si="10"/>
      </c>
      <c r="AR37">
        <f t="shared" si="11"/>
      </c>
      <c r="AS37">
        <f t="shared" si="12"/>
      </c>
      <c r="AT37" s="46">
        <f t="shared" si="22"/>
        <v>16.491551459293394</v>
      </c>
      <c r="AV37" s="94">
        <f t="shared" si="17"/>
      </c>
      <c r="AY37" s="94">
        <f t="shared" si="15"/>
        <v>4.1228878648233485</v>
      </c>
    </row>
    <row r="38" spans="1:51" ht="12.75">
      <c r="A38" s="44"/>
      <c r="B38" s="45"/>
      <c r="C38" s="45"/>
      <c r="D38" s="47">
        <f>67.1/65.1*3.2</f>
        <v>3.298310291858679</v>
      </c>
      <c r="E38" s="47"/>
      <c r="F38" s="47"/>
      <c r="G38" s="47"/>
      <c r="H38" s="47"/>
      <c r="I38" s="47"/>
      <c r="J38" s="47"/>
      <c r="K38" s="47"/>
      <c r="L38" s="32">
        <f t="shared" si="20"/>
        <v>3.298310291858679</v>
      </c>
      <c r="M38" s="151" t="s">
        <v>61</v>
      </c>
      <c r="N38" s="49"/>
      <c r="O38" s="50">
        <v>33</v>
      </c>
      <c r="P38" s="51"/>
      <c r="Q38" s="50"/>
      <c r="R38" s="52"/>
      <c r="S38" s="53"/>
      <c r="T38" s="54"/>
      <c r="U38" s="55"/>
      <c r="V38" s="56"/>
      <c r="W38" s="53"/>
      <c r="X38" s="57"/>
      <c r="Y38" s="57"/>
      <c r="Z38" s="57"/>
      <c r="AA38" s="57"/>
      <c r="AB38" s="57"/>
      <c r="AC38" s="57"/>
      <c r="AD38" s="56"/>
      <c r="AE38" s="56"/>
      <c r="AF38" s="54">
        <f t="shared" si="21"/>
        <v>1.088442396313364</v>
      </c>
      <c r="AI38">
        <f t="shared" si="2"/>
      </c>
      <c r="AJ38">
        <f t="shared" si="3"/>
      </c>
      <c r="AK38">
        <f t="shared" si="4"/>
      </c>
      <c r="AL38">
        <f t="shared" si="5"/>
        <v>3.298310291858679</v>
      </c>
      <c r="AM38">
        <f t="shared" si="6"/>
      </c>
      <c r="AN38">
        <f t="shared" si="7"/>
      </c>
      <c r="AO38">
        <f t="shared" si="8"/>
      </c>
      <c r="AP38">
        <f t="shared" si="9"/>
      </c>
      <c r="AQ38">
        <f t="shared" si="10"/>
      </c>
      <c r="AR38">
        <f t="shared" si="11"/>
      </c>
      <c r="AS38">
        <f t="shared" si="12"/>
      </c>
      <c r="AT38" s="46">
        <f t="shared" si="22"/>
        <v>3.298310291858679</v>
      </c>
      <c r="AV38" s="94">
        <f t="shared" si="17"/>
      </c>
      <c r="AY38" s="94">
        <f t="shared" si="15"/>
        <v>1.088442396313364</v>
      </c>
    </row>
    <row r="39" spans="1:51" ht="12.75">
      <c r="A39" s="44"/>
      <c r="B39" s="45"/>
      <c r="C39" s="45"/>
      <c r="D39" s="47">
        <f>67.1/65.1*20.3</f>
        <v>20.923655913978493</v>
      </c>
      <c r="E39" s="47"/>
      <c r="F39" s="47"/>
      <c r="G39" s="47"/>
      <c r="H39" s="47"/>
      <c r="I39" s="47"/>
      <c r="J39" s="47"/>
      <c r="K39" s="47"/>
      <c r="L39" s="32">
        <f t="shared" si="20"/>
        <v>20.923655913978493</v>
      </c>
      <c r="M39" s="151" t="s">
        <v>62</v>
      </c>
      <c r="N39" s="49"/>
      <c r="O39" s="50">
        <v>33</v>
      </c>
      <c r="P39" s="51"/>
      <c r="Q39" s="50"/>
      <c r="R39" s="52"/>
      <c r="S39" s="53"/>
      <c r="T39" s="54"/>
      <c r="U39" s="55"/>
      <c r="V39" s="56"/>
      <c r="W39" s="53"/>
      <c r="X39" s="57"/>
      <c r="Y39" s="57"/>
      <c r="Z39" s="57"/>
      <c r="AA39" s="57"/>
      <c r="AB39" s="57"/>
      <c r="AC39" s="57"/>
      <c r="AD39" s="56"/>
      <c r="AE39" s="56"/>
      <c r="AF39" s="54">
        <f t="shared" si="21"/>
        <v>6.904806451612902</v>
      </c>
      <c r="AI39">
        <f t="shared" si="2"/>
      </c>
      <c r="AJ39">
        <f t="shared" si="3"/>
      </c>
      <c r="AK39">
        <f>IF(C39&lt;&gt;0,$AT39,"")</f>
      </c>
      <c r="AL39">
        <f t="shared" si="5"/>
        <v>20.923655913978493</v>
      </c>
      <c r="AM39">
        <f t="shared" si="6"/>
      </c>
      <c r="AN39">
        <f t="shared" si="7"/>
      </c>
      <c r="AO39">
        <f t="shared" si="8"/>
      </c>
      <c r="AP39">
        <f t="shared" si="9"/>
      </c>
      <c r="AQ39">
        <f t="shared" si="10"/>
      </c>
      <c r="AR39">
        <f t="shared" si="11"/>
      </c>
      <c r="AS39">
        <f t="shared" si="12"/>
      </c>
      <c r="AT39" s="46">
        <f t="shared" si="22"/>
        <v>20.923655913978493</v>
      </c>
      <c r="AV39" s="94">
        <f t="shared" si="17"/>
      </c>
      <c r="AY39" s="94">
        <f t="shared" si="15"/>
        <v>6.904806451612902</v>
      </c>
    </row>
    <row r="40" spans="1:51" ht="12.75">
      <c r="A40" s="44"/>
      <c r="B40" s="45"/>
      <c r="C40" s="45"/>
      <c r="D40" s="47">
        <f>67.1/65.1*25.6</f>
        <v>26.38648233486943</v>
      </c>
      <c r="E40" s="47"/>
      <c r="F40" s="47"/>
      <c r="G40" s="47"/>
      <c r="H40" s="47"/>
      <c r="I40" s="47"/>
      <c r="J40" s="47"/>
      <c r="K40" s="47"/>
      <c r="L40" s="32">
        <f t="shared" si="20"/>
        <v>26.38648233486943</v>
      </c>
      <c r="M40" s="151" t="s">
        <v>63</v>
      </c>
      <c r="N40" s="49"/>
      <c r="O40" s="50">
        <v>33</v>
      </c>
      <c r="P40" s="51"/>
      <c r="Q40" s="50"/>
      <c r="R40" s="52"/>
      <c r="S40" s="53"/>
      <c r="T40" s="54"/>
      <c r="U40" s="55"/>
      <c r="V40" s="56"/>
      <c r="W40" s="53"/>
      <c r="X40" s="57"/>
      <c r="Y40" s="57"/>
      <c r="Z40" s="57"/>
      <c r="AA40" s="57"/>
      <c r="AB40" s="57"/>
      <c r="AC40" s="57"/>
      <c r="AD40" s="56"/>
      <c r="AE40" s="56"/>
      <c r="AF40" s="54">
        <f t="shared" si="21"/>
        <v>8.707539170506912</v>
      </c>
      <c r="AI40">
        <f t="shared" si="2"/>
      </c>
      <c r="AJ40">
        <f t="shared" si="3"/>
      </c>
      <c r="AK40">
        <f t="shared" si="4"/>
      </c>
      <c r="AL40">
        <f t="shared" si="5"/>
        <v>26.38648233486943</v>
      </c>
      <c r="AM40">
        <f t="shared" si="6"/>
      </c>
      <c r="AN40">
        <f t="shared" si="7"/>
      </c>
      <c r="AO40">
        <f t="shared" si="8"/>
      </c>
      <c r="AP40">
        <f t="shared" si="9"/>
      </c>
      <c r="AQ40">
        <f t="shared" si="10"/>
      </c>
      <c r="AR40">
        <f t="shared" si="11"/>
      </c>
      <c r="AS40">
        <f t="shared" si="12"/>
      </c>
      <c r="AT40" s="46">
        <f t="shared" si="22"/>
        <v>26.38648233486943</v>
      </c>
      <c r="AV40" s="94">
        <f t="shared" si="17"/>
      </c>
      <c r="AY40" s="94">
        <f t="shared" si="15"/>
        <v>8.707539170506912</v>
      </c>
    </row>
    <row r="41" spans="1:51" ht="13.5" thickBot="1">
      <c r="A41" s="44"/>
      <c r="B41" s="45"/>
      <c r="C41" s="45"/>
      <c r="D41" s="47">
        <v>96.2</v>
      </c>
      <c r="E41" s="47"/>
      <c r="F41" s="47"/>
      <c r="G41" s="47"/>
      <c r="H41" s="47"/>
      <c r="I41" s="47"/>
      <c r="J41" s="47"/>
      <c r="K41" s="47"/>
      <c r="L41" s="58">
        <f t="shared" si="20"/>
        <v>96.2</v>
      </c>
      <c r="M41" s="151" t="s">
        <v>64</v>
      </c>
      <c r="N41" s="49"/>
      <c r="O41" s="50">
        <v>38</v>
      </c>
      <c r="P41" s="51"/>
      <c r="Q41" s="50"/>
      <c r="R41" s="52"/>
      <c r="S41" s="53"/>
      <c r="T41" s="54"/>
      <c r="U41" s="55"/>
      <c r="V41" s="56"/>
      <c r="W41" s="53"/>
      <c r="X41" s="57"/>
      <c r="Y41" s="57"/>
      <c r="Z41" s="57"/>
      <c r="AA41" s="57"/>
      <c r="AB41" s="57"/>
      <c r="AC41" s="57"/>
      <c r="AD41" s="56"/>
      <c r="AE41" s="56"/>
      <c r="AF41" s="54">
        <f t="shared" si="21"/>
        <v>36.556</v>
      </c>
      <c r="AI41">
        <f t="shared" si="2"/>
      </c>
      <c r="AJ41">
        <f t="shared" si="3"/>
      </c>
      <c r="AK41">
        <f t="shared" si="4"/>
      </c>
      <c r="AL41">
        <f t="shared" si="5"/>
        <v>96.2</v>
      </c>
      <c r="AM41">
        <f t="shared" si="6"/>
      </c>
      <c r="AN41">
        <f t="shared" si="7"/>
      </c>
      <c r="AO41">
        <f t="shared" si="8"/>
      </c>
      <c r="AP41">
        <f t="shared" si="9"/>
      </c>
      <c r="AQ41">
        <f t="shared" si="10"/>
      </c>
      <c r="AR41">
        <f t="shared" si="11"/>
      </c>
      <c r="AS41">
        <f t="shared" si="12"/>
      </c>
      <c r="AT41" s="46">
        <f t="shared" si="22"/>
        <v>96.2</v>
      </c>
      <c r="AV41" s="94">
        <f t="shared" si="17"/>
      </c>
      <c r="AY41" s="94">
        <f t="shared" si="15"/>
        <v>36.556</v>
      </c>
    </row>
    <row r="42" spans="1:51" ht="13.5" thickBot="1">
      <c r="A42" s="136">
        <f aca="true" t="shared" si="23" ref="A42:L42">SUM(A7:A41)</f>
        <v>-285.6810208822306</v>
      </c>
      <c r="B42" s="60">
        <f t="shared" si="23"/>
        <v>1.8</v>
      </c>
      <c r="C42" s="60">
        <f t="shared" si="23"/>
        <v>74.11999999999999</v>
      </c>
      <c r="D42" s="60">
        <f t="shared" si="23"/>
        <v>163.3</v>
      </c>
      <c r="E42" s="60">
        <f t="shared" si="23"/>
        <v>48.5</v>
      </c>
      <c r="F42" s="60">
        <f t="shared" si="23"/>
        <v>78.8</v>
      </c>
      <c r="G42" s="60">
        <f t="shared" si="23"/>
        <v>21.3</v>
      </c>
      <c r="H42" s="60">
        <f t="shared" si="23"/>
        <v>20</v>
      </c>
      <c r="I42" s="60">
        <f t="shared" si="23"/>
        <v>4.7</v>
      </c>
      <c r="J42" s="137">
        <f t="shared" si="23"/>
        <v>386.261154</v>
      </c>
      <c r="K42" s="60">
        <f t="shared" si="23"/>
        <v>0</v>
      </c>
      <c r="L42" s="61">
        <f t="shared" si="23"/>
        <v>513.1001331177694</v>
      </c>
      <c r="M42" s="62" t="s">
        <v>22</v>
      </c>
      <c r="N42" s="60"/>
      <c r="O42" s="63"/>
      <c r="P42" s="61"/>
      <c r="Q42" s="63"/>
      <c r="R42" s="64"/>
      <c r="S42" s="59">
        <f aca="true" t="shared" si="24" ref="S42:AF42">SUM(S7:S41)</f>
        <v>6.308842337432452E-14</v>
      </c>
      <c r="T42" s="65">
        <f t="shared" si="24"/>
        <v>97.56272912423624</v>
      </c>
      <c r="U42" s="60">
        <f t="shared" si="24"/>
        <v>0</v>
      </c>
      <c r="V42" s="61">
        <f t="shared" si="24"/>
        <v>62.187000000000005</v>
      </c>
      <c r="W42" s="59">
        <f t="shared" si="24"/>
        <v>25.499724999999998</v>
      </c>
      <c r="X42" s="63">
        <f t="shared" si="24"/>
        <v>119.112025</v>
      </c>
      <c r="Y42" s="63">
        <f t="shared" si="24"/>
        <v>128.48207101950914</v>
      </c>
      <c r="Z42" s="63">
        <f t="shared" si="24"/>
        <v>25.45847678859471</v>
      </c>
      <c r="AA42" s="63">
        <f t="shared" si="24"/>
        <v>6.290480413849287</v>
      </c>
      <c r="AB42" s="63">
        <f t="shared" si="24"/>
        <v>15.133395828920566</v>
      </c>
      <c r="AC42" s="63">
        <f t="shared" si="24"/>
        <v>6.3736169287169036</v>
      </c>
      <c r="AD42" s="61">
        <f t="shared" si="24"/>
        <v>13.756136586558043</v>
      </c>
      <c r="AE42" s="61">
        <f t="shared" si="24"/>
        <v>9.21935265173116</v>
      </c>
      <c r="AF42" s="65">
        <f t="shared" si="24"/>
        <v>67.07967588325653</v>
      </c>
      <c r="AI42" s="46">
        <f aca="true" t="shared" si="25" ref="AI42:AV42">SUM(AI7:AI41)</f>
        <v>-285.10963934810104</v>
      </c>
      <c r="AJ42" s="46">
        <f t="shared" si="25"/>
        <v>1.8</v>
      </c>
      <c r="AK42" s="46">
        <f t="shared" si="25"/>
        <v>78.93033668974198</v>
      </c>
      <c r="AL42" s="46">
        <f t="shared" si="25"/>
        <v>163.3</v>
      </c>
      <c r="AM42" s="46">
        <f t="shared" si="25"/>
        <v>48.5</v>
      </c>
      <c r="AN42" s="46">
        <f t="shared" si="25"/>
        <v>83.91406544996855</v>
      </c>
      <c r="AO42" s="46">
        <f t="shared" si="25"/>
        <v>22.68235525487728</v>
      </c>
      <c r="AP42" s="46">
        <f t="shared" si="25"/>
        <v>21.57056324732536</v>
      </c>
      <c r="AQ42" s="46">
        <f t="shared" si="25"/>
        <v>4.70786658275645</v>
      </c>
      <c r="AR42" s="46">
        <f t="shared" si="25"/>
        <v>386.261154</v>
      </c>
      <c r="AS42" s="46">
        <f t="shared" si="25"/>
        <v>0</v>
      </c>
      <c r="AT42" s="46">
        <f t="shared" si="25"/>
        <v>526.5567018765686</v>
      </c>
      <c r="AU42" s="46">
        <f t="shared" si="25"/>
        <v>1.1379786002407855E-14</v>
      </c>
      <c r="AV42" s="46">
        <f t="shared" si="25"/>
        <v>98.11696921234197</v>
      </c>
      <c r="AY42" s="94"/>
    </row>
    <row r="43" spans="1:46" ht="12.75">
      <c r="A43" s="66">
        <f aca="true" t="shared" si="26" ref="A43:K43">A$42*A51/1000</f>
        <v>-36.56717067292551</v>
      </c>
      <c r="B43" s="67">
        <f t="shared" si="26"/>
        <v>0.12329999999999999</v>
      </c>
      <c r="C43" s="67">
        <f t="shared" si="26"/>
        <v>5.4848799999999995</v>
      </c>
      <c r="D43" s="67">
        <f t="shared" si="26"/>
        <v>12.084200000000001</v>
      </c>
      <c r="E43" s="67">
        <f t="shared" si="26"/>
        <v>3.6375</v>
      </c>
      <c r="F43" s="67">
        <f t="shared" si="26"/>
        <v>0</v>
      </c>
      <c r="G43" s="67">
        <f t="shared" si="26"/>
        <v>0</v>
      </c>
      <c r="H43" s="67">
        <f t="shared" si="26"/>
        <v>0</v>
      </c>
      <c r="I43" s="67">
        <f t="shared" si="26"/>
        <v>0</v>
      </c>
      <c r="J43" s="67">
        <f t="shared" si="26"/>
        <v>0</v>
      </c>
      <c r="K43" s="67">
        <f t="shared" si="26"/>
        <v>0</v>
      </c>
      <c r="L43" s="67">
        <f>SUM(A43:K43)</f>
        <v>-15.237290672925514</v>
      </c>
      <c r="M43" s="68" t="s">
        <v>65</v>
      </c>
      <c r="N43" s="69"/>
      <c r="O43" s="97">
        <f>L43*1000/$I$1</f>
        <v>-3.6938886479819426</v>
      </c>
      <c r="P43" s="83" t="s">
        <v>71</v>
      </c>
      <c r="Q43" s="83"/>
      <c r="R43" s="83"/>
      <c r="S43" s="97">
        <f>AT43*1000/$I$1</f>
        <v>-3.5898639809735817</v>
      </c>
      <c r="T43" s="83" t="str">
        <f>P43&amp;", graddagskorrigeret"</f>
        <v>tons/indbygger, graddagskorrigeret</v>
      </c>
      <c r="U43" s="83"/>
      <c r="V43" s="83"/>
      <c r="W43" s="83"/>
      <c r="X43" s="69"/>
      <c r="Y43" s="149">
        <f>3428/3178</f>
        <v>1.078665827564506</v>
      </c>
      <c r="Z43" s="2" t="s">
        <v>103</v>
      </c>
      <c r="AA43" s="2"/>
      <c r="AB43" s="2"/>
      <c r="AC43" s="2"/>
      <c r="AI43">
        <f aca="true" t="shared" si="27" ref="AI43:AS43">AI$42*A51/1000</f>
        <v>-36.49403383655693</v>
      </c>
      <c r="AJ43">
        <f t="shared" si="27"/>
        <v>0.12329999999999999</v>
      </c>
      <c r="AK43">
        <f t="shared" si="27"/>
        <v>5.840844915040906</v>
      </c>
      <c r="AL43">
        <f t="shared" si="27"/>
        <v>12.084200000000001</v>
      </c>
      <c r="AM43">
        <f t="shared" si="27"/>
        <v>3.6375</v>
      </c>
      <c r="AN43">
        <f t="shared" si="27"/>
        <v>0</v>
      </c>
      <c r="AO43">
        <f t="shared" si="27"/>
        <v>0</v>
      </c>
      <c r="AP43">
        <f t="shared" si="27"/>
        <v>0</v>
      </c>
      <c r="AQ43">
        <f t="shared" si="27"/>
        <v>0</v>
      </c>
      <c r="AR43">
        <f t="shared" si="27"/>
        <v>0</v>
      </c>
      <c r="AS43">
        <f t="shared" si="27"/>
        <v>0</v>
      </c>
      <c r="AT43">
        <f>SUM(AI43:AS43)</f>
        <v>-14.808188921516024</v>
      </c>
    </row>
    <row r="44" spans="1:46" ht="12.75">
      <c r="A44" s="29">
        <f aca="true" t="shared" si="28" ref="A44:K44">A$42*A52</f>
        <v>-9.42747368911361</v>
      </c>
      <c r="B44" s="31">
        <f t="shared" si="28"/>
        <v>0.0216</v>
      </c>
      <c r="C44" s="31">
        <f t="shared" si="28"/>
        <v>1.7047599999999998</v>
      </c>
      <c r="D44" s="31">
        <f t="shared" si="28"/>
        <v>0.07348500000000001</v>
      </c>
      <c r="E44" s="31">
        <f t="shared" si="28"/>
        <v>0.02134</v>
      </c>
      <c r="F44" s="31">
        <f t="shared" si="28"/>
        <v>3.7036</v>
      </c>
      <c r="G44" s="31">
        <f t="shared" si="28"/>
        <v>0.0426</v>
      </c>
      <c r="H44" s="31">
        <f t="shared" si="28"/>
        <v>0.04</v>
      </c>
      <c r="I44" s="31">
        <f t="shared" si="28"/>
        <v>0</v>
      </c>
      <c r="J44" s="31">
        <f t="shared" si="28"/>
        <v>0</v>
      </c>
      <c r="K44" s="31">
        <f t="shared" si="28"/>
        <v>0</v>
      </c>
      <c r="L44" s="31">
        <f>SUM(A44:K44)</f>
        <v>-3.82008868911361</v>
      </c>
      <c r="M44" s="36" t="s">
        <v>66</v>
      </c>
      <c r="N44" s="70"/>
      <c r="O44" s="98">
        <f>L44*1000/$I$1</f>
        <v>-0.9260821064517841</v>
      </c>
      <c r="P44" s="37" t="s">
        <v>72</v>
      </c>
      <c r="Q44" s="37"/>
      <c r="R44" s="37"/>
      <c r="S44" s="98">
        <f>AT44*1000/$I$1</f>
        <v>-0.8349887130837194</v>
      </c>
      <c r="T44" s="37" t="str">
        <f>P44&amp;", graddagskorrigeret"</f>
        <v>kg/indbygger, graddagskorrigeret</v>
      </c>
      <c r="U44" s="37"/>
      <c r="V44" s="37"/>
      <c r="W44" s="37"/>
      <c r="X44" s="70"/>
      <c r="AI44">
        <f aca="true" t="shared" si="29" ref="AI44:AS45">AI$42*A52</f>
        <v>-9.408618098487334</v>
      </c>
      <c r="AJ44">
        <f t="shared" si="29"/>
        <v>0.0216</v>
      </c>
      <c r="AK44">
        <f t="shared" si="29"/>
        <v>1.8153977438640654</v>
      </c>
      <c r="AL44">
        <f t="shared" si="29"/>
        <v>0.07348500000000001</v>
      </c>
      <c r="AM44">
        <f t="shared" si="29"/>
        <v>0.02134</v>
      </c>
      <c r="AN44">
        <f t="shared" si="29"/>
        <v>3.9439610761485215</v>
      </c>
      <c r="AO44">
        <f t="shared" si="29"/>
        <v>0.04536471050975456</v>
      </c>
      <c r="AP44">
        <f t="shared" si="29"/>
        <v>0.04314112649465072</v>
      </c>
      <c r="AQ44">
        <f t="shared" si="29"/>
        <v>0</v>
      </c>
      <c r="AR44">
        <f t="shared" si="29"/>
        <v>0</v>
      </c>
      <c r="AS44">
        <f t="shared" si="29"/>
        <v>0</v>
      </c>
      <c r="AT44">
        <f>SUM(AI44:AS44)</f>
        <v>-3.4443284414703426</v>
      </c>
    </row>
    <row r="45" spans="1:46" ht="13.5" thickBot="1">
      <c r="A45" s="29">
        <f aca="true" t="shared" si="30" ref="A45:K45">A$42*A53</f>
        <v>-62.849824594090734</v>
      </c>
      <c r="B45" s="31">
        <f t="shared" si="30"/>
        <v>0.117</v>
      </c>
      <c r="C45" s="31">
        <f t="shared" si="30"/>
        <v>3.7059999999999995</v>
      </c>
      <c r="D45" s="31">
        <f t="shared" si="30"/>
        <v>32.660000000000004</v>
      </c>
      <c r="E45" s="31">
        <f t="shared" si="30"/>
        <v>3.6374999999999997</v>
      </c>
      <c r="F45" s="31">
        <f t="shared" si="30"/>
        <v>10.244</v>
      </c>
      <c r="G45" s="31">
        <f t="shared" si="30"/>
        <v>1.4697000000000002</v>
      </c>
      <c r="H45" s="31">
        <f t="shared" si="30"/>
        <v>1.3800000000000001</v>
      </c>
      <c r="I45" s="31">
        <f t="shared" si="30"/>
        <v>0</v>
      </c>
      <c r="J45" s="31">
        <f t="shared" si="30"/>
        <v>0</v>
      </c>
      <c r="K45" s="31">
        <f t="shared" si="30"/>
        <v>0</v>
      </c>
      <c r="L45" s="31">
        <f>SUM(A45:K45)</f>
        <v>-9.635624594090737</v>
      </c>
      <c r="M45" s="36" t="s">
        <v>89</v>
      </c>
      <c r="N45" s="70"/>
      <c r="O45" s="99">
        <f>L45*1000/$I$1</f>
        <v>-2.3359089925068455</v>
      </c>
      <c r="P45" s="88" t="s">
        <v>72</v>
      </c>
      <c r="Q45" s="88"/>
      <c r="R45" s="88"/>
      <c r="S45" s="99">
        <f>AT45*1000/$I$1</f>
        <v>-2.036563378653876</v>
      </c>
      <c r="T45" s="88" t="str">
        <f>P45&amp;", graddagskorrigeret"</f>
        <v>kg/indbygger, graddagskorrigeret</v>
      </c>
      <c r="U45" s="88"/>
      <c r="V45" s="88"/>
      <c r="W45" s="88"/>
      <c r="X45" s="74"/>
      <c r="AI45">
        <f t="shared" si="29"/>
        <v>-62.72412065658223</v>
      </c>
      <c r="AJ45">
        <f t="shared" si="29"/>
        <v>0.117</v>
      </c>
      <c r="AK45">
        <f t="shared" si="29"/>
        <v>3.946516834487099</v>
      </c>
      <c r="AL45">
        <f t="shared" si="29"/>
        <v>32.660000000000004</v>
      </c>
      <c r="AM45">
        <f t="shared" si="29"/>
        <v>3.6374999999999997</v>
      </c>
      <c r="AN45">
        <f t="shared" si="29"/>
        <v>10.908828508495912</v>
      </c>
      <c r="AO45">
        <f t="shared" si="29"/>
        <v>1.5650825125865324</v>
      </c>
      <c r="AP45">
        <f t="shared" si="29"/>
        <v>1.48836886406545</v>
      </c>
      <c r="AQ45">
        <f t="shared" si="29"/>
        <v>0</v>
      </c>
      <c r="AR45">
        <f t="shared" si="29"/>
        <v>0</v>
      </c>
      <c r="AS45">
        <f t="shared" si="29"/>
        <v>0</v>
      </c>
      <c r="AT45" s="46">
        <f>SUM(AI45:AS45)</f>
        <v>-8.400823936947237</v>
      </c>
    </row>
    <row r="46" spans="1:24" ht="13.5" hidden="1" thickBot="1">
      <c r="A46" s="71" t="e">
        <f>A$42*#REF!</f>
        <v>#REF!</v>
      </c>
      <c r="B46" s="72" t="e">
        <f>B$42*#REF!</f>
        <v>#REF!</v>
      </c>
      <c r="C46" s="72" t="e">
        <f>C$42*#REF!</f>
        <v>#REF!</v>
      </c>
      <c r="D46" s="72" t="e">
        <f>D$42*#REF!</f>
        <v>#REF!</v>
      </c>
      <c r="E46" s="72" t="e">
        <f>E$42*#REF!</f>
        <v>#REF!</v>
      </c>
      <c r="F46" s="72" t="e">
        <f>F$42*#REF!</f>
        <v>#REF!</v>
      </c>
      <c r="G46" s="72" t="e">
        <f>G$42*#REF!</f>
        <v>#REF!</v>
      </c>
      <c r="H46" s="72" t="e">
        <f>H$42*#REF!</f>
        <v>#REF!</v>
      </c>
      <c r="I46" s="72" t="e">
        <f>I$42*#REF!</f>
        <v>#REF!</v>
      </c>
      <c r="J46" s="72" t="e">
        <f>J$42*#REF!</f>
        <v>#REF!</v>
      </c>
      <c r="K46" s="72" t="e">
        <f>K$42*#REF!</f>
        <v>#REF!</v>
      </c>
      <c r="L46" s="72" t="e">
        <f>SUM(A46:K46)</f>
        <v>#REF!</v>
      </c>
      <c r="M46" s="73" t="s">
        <v>67</v>
      </c>
      <c r="N46" s="74"/>
      <c r="S46" s="14"/>
      <c r="T46" s="18" t="str">
        <f>P46&amp;", graddagskorrigeret"</f>
        <v>, graddagskorrigeret</v>
      </c>
      <c r="U46" s="18"/>
      <c r="V46" s="18"/>
      <c r="W46" s="18"/>
      <c r="X46" s="20"/>
    </row>
    <row r="47" spans="1:24" ht="12.75">
      <c r="A47" s="66"/>
      <c r="B47" s="67"/>
      <c r="C47" s="67"/>
      <c r="D47" s="67"/>
      <c r="E47" s="67"/>
      <c r="F47" s="67">
        <v>117.4</v>
      </c>
      <c r="G47" s="67"/>
      <c r="H47" s="67">
        <v>20</v>
      </c>
      <c r="I47" s="67"/>
      <c r="J47" s="67"/>
      <c r="K47" s="67">
        <v>145.1</v>
      </c>
      <c r="L47" s="67">
        <f>SUM(A47:K47)</f>
        <v>282.5</v>
      </c>
      <c r="M47" s="68" t="s">
        <v>68</v>
      </c>
      <c r="N47" s="69"/>
      <c r="O47" s="101">
        <f>SUM(F42:K42)/L42</f>
        <v>0.9960261574960431</v>
      </c>
      <c r="P47" s="2" t="s">
        <v>73</v>
      </c>
      <c r="Q47" s="2"/>
      <c r="R47" s="2"/>
      <c r="S47" s="101">
        <f>SUM(AN42:AS42)/AT42</f>
        <v>0.9859071258324229</v>
      </c>
      <c r="T47" s="2" t="str">
        <f>P47&amp;", graddagskorrigeret"</f>
        <v>Vedvarende , graddagskorrigeret</v>
      </c>
      <c r="U47" s="2"/>
      <c r="V47" s="2"/>
      <c r="W47" s="2"/>
      <c r="X47" s="3"/>
    </row>
    <row r="48" spans="1:24" ht="13.5" thickBot="1">
      <c r="A48" s="75"/>
      <c r="B48" s="76"/>
      <c r="C48" s="76"/>
      <c r="D48" s="76"/>
      <c r="E48" s="76"/>
      <c r="F48" s="77">
        <f>F42/F47</f>
        <v>0.6712095400340715</v>
      </c>
      <c r="G48" s="76"/>
      <c r="H48" s="77">
        <f>H42/H47</f>
        <v>1</v>
      </c>
      <c r="I48" s="76"/>
      <c r="J48" s="76"/>
      <c r="K48" s="77">
        <f>K42/K47</f>
        <v>0</v>
      </c>
      <c r="L48" s="107">
        <f>SUM(F42,H42,K42)/L47</f>
        <v>0.3497345132743363</v>
      </c>
      <c r="M48" s="73" t="s">
        <v>69</v>
      </c>
      <c r="N48" s="74"/>
      <c r="O48" s="11"/>
      <c r="P48" s="12" t="s">
        <v>74</v>
      </c>
      <c r="Q48" s="12"/>
      <c r="R48" s="12"/>
      <c r="S48" s="11"/>
      <c r="T48" s="12" t="str">
        <f>P48</f>
        <v>Energi</v>
      </c>
      <c r="U48" s="12"/>
      <c r="V48" s="12"/>
      <c r="W48" s="12"/>
      <c r="X48" s="13"/>
    </row>
    <row r="49" ht="13.5" thickBot="1">
      <c r="M49" s="5"/>
    </row>
    <row r="50" spans="1:13" ht="52.5" customHeight="1" thickBot="1">
      <c r="A50" s="78" t="str">
        <f aca="true" t="shared" si="31" ref="A50:K50">A6</f>
        <v>elimport</v>
      </c>
      <c r="B50" s="79" t="str">
        <f t="shared" si="31"/>
        <v>LPG og petroleum</v>
      </c>
      <c r="C50" s="79" t="str">
        <f t="shared" si="31"/>
        <v>Olie</v>
      </c>
      <c r="D50" s="79" t="str">
        <f t="shared" si="31"/>
        <v>Diesel</v>
      </c>
      <c r="E50" s="79" t="str">
        <f t="shared" si="31"/>
        <v>Benzin</v>
      </c>
      <c r="F50" s="79" t="str">
        <f t="shared" si="31"/>
        <v>Halm</v>
      </c>
      <c r="G50" s="79" t="str">
        <f t="shared" si="31"/>
        <v>Træpiller</v>
      </c>
      <c r="H50" s="79" t="str">
        <f t="shared" si="31"/>
        <v>Træ og træflis</v>
      </c>
      <c r="I50" s="79" t="str">
        <f t="shared" si="31"/>
        <v>Solvarme</v>
      </c>
      <c r="J50" s="79" t="str">
        <f t="shared" si="31"/>
        <v>Vind</v>
      </c>
      <c r="K50" s="79" t="str">
        <f t="shared" si="31"/>
        <v>Biogas</v>
      </c>
      <c r="M50" s="5"/>
    </row>
    <row r="51" spans="1:17" ht="12.75">
      <c r="A51" s="80">
        <v>128</v>
      </c>
      <c r="B51" s="81">
        <v>68.5</v>
      </c>
      <c r="C51" s="81">
        <v>74</v>
      </c>
      <c r="D51" s="81">
        <v>74</v>
      </c>
      <c r="E51" s="81">
        <v>75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2" t="str">
        <f>"CO2-emissionsværdier (ton/"&amp;$C$3&amp;")"</f>
        <v>CO2-emissionsværdier (ton/TJ)</v>
      </c>
      <c r="M51" s="83"/>
      <c r="N51" s="69"/>
      <c r="Q51" s="84"/>
    </row>
    <row r="52" spans="1:14" ht="12.75">
      <c r="A52" s="85">
        <v>0.033</v>
      </c>
      <c r="B52" s="35">
        <v>0.012</v>
      </c>
      <c r="C52" s="35">
        <v>0.023</v>
      </c>
      <c r="D52" s="35">
        <v>0.00045</v>
      </c>
      <c r="E52" s="35">
        <v>0.00044</v>
      </c>
      <c r="F52" s="35">
        <v>0.047</v>
      </c>
      <c r="G52" s="35">
        <v>0.002</v>
      </c>
      <c r="H52" s="35">
        <v>0.002</v>
      </c>
      <c r="I52" s="35">
        <v>0</v>
      </c>
      <c r="J52" s="35">
        <v>0</v>
      </c>
      <c r="K52" s="35">
        <v>0</v>
      </c>
      <c r="L52" s="86" t="str">
        <f>"SO2-emissionsværdier (ton/"&amp;$C$3&amp;")"</f>
        <v>SO2-emissionsværdier (ton/TJ)</v>
      </c>
      <c r="M52" s="37"/>
      <c r="N52" s="70"/>
    </row>
    <row r="53" spans="1:14" ht="13.5" thickBot="1">
      <c r="A53" s="75">
        <v>0.22</v>
      </c>
      <c r="B53" s="76">
        <v>0.065</v>
      </c>
      <c r="C53" s="76">
        <v>0.05</v>
      </c>
      <c r="D53" s="76">
        <v>0.2</v>
      </c>
      <c r="E53" s="76">
        <v>0.075</v>
      </c>
      <c r="F53" s="76">
        <v>0.13</v>
      </c>
      <c r="G53" s="76">
        <v>0.069</v>
      </c>
      <c r="H53" s="76">
        <v>0.069</v>
      </c>
      <c r="I53" s="76">
        <v>0</v>
      </c>
      <c r="J53" s="76">
        <v>0</v>
      </c>
      <c r="K53" s="76">
        <v>0.2</v>
      </c>
      <c r="L53" s="87" t="str">
        <f>"NOx-emissionsværdier (ton/"&amp;$C$3&amp;")"</f>
        <v>NOx-emissionsværdier (ton/TJ)</v>
      </c>
      <c r="M53" s="88"/>
      <c r="N53" s="74"/>
    </row>
  </sheetData>
  <mergeCells count="1">
    <mergeCell ref="C2:D2"/>
  </mergeCells>
  <dataValidations count="1">
    <dataValidation type="list" allowBlank="1" showInputMessage="1" showErrorMessage="1" promptTitle="Energienhed" prompt="Vælg her en passende energienhed" sqref="C3">
      <formula1>enhedsliste</formula1>
    </dataValidation>
  </dataValidations>
  <printOptions headings="1"/>
  <pageMargins left="0.45" right="0.45" top="0.7" bottom="0.55" header="0.5118110236220472" footer="0.33"/>
  <pageSetup cellComments="atEnd" fitToHeight="1" fitToWidth="1" horizontalDpi="600" verticalDpi="600" orientation="landscape" paperSize="9" scale="65" r:id="rId1"/>
  <headerFooter alignWithMargins="0">
    <oddHeader>&amp;LPlanEnergi&amp;C&amp;A</oddHeader>
    <oddFooter>&amp;L&amp;F&amp;C&amp;P&amp;R&amp;T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12">
    <pageSetUpPr fitToPage="1"/>
  </sheetPr>
  <dimension ref="A47:O61"/>
  <sheetViews>
    <sheetView workbookViewId="0" topLeftCell="A49">
      <selection activeCell="E81" sqref="E81"/>
    </sheetView>
  </sheetViews>
  <sheetFormatPr defaultColWidth="9.33203125" defaultRowHeight="12.75"/>
  <cols>
    <col min="7" max="7" width="10.16015625" style="0" customWidth="1"/>
    <col min="9" max="9" width="10.33203125" style="0" customWidth="1"/>
    <col min="11" max="11" width="9.83203125" style="0" customWidth="1"/>
    <col min="12" max="12" width="10.66015625" style="0" customWidth="1"/>
    <col min="14" max="14" width="10.16015625" style="0" customWidth="1"/>
    <col min="15" max="15" width="10.5" style="0" customWidth="1"/>
  </cols>
  <sheetData>
    <row r="46" ht="13.5" thickBot="1"/>
    <row r="47" spans="1:15" ht="24.75" customHeight="1" thickBot="1">
      <c r="A47" s="105" t="s">
        <v>85</v>
      </c>
      <c r="B47" s="18"/>
      <c r="C47" s="18"/>
      <c r="D47" s="18"/>
      <c r="E47" s="130">
        <v>1997</v>
      </c>
      <c r="F47" s="131">
        <v>1999</v>
      </c>
      <c r="G47" s="109" t="s">
        <v>92</v>
      </c>
      <c r="H47" s="132">
        <v>2001</v>
      </c>
      <c r="I47" s="109" t="s">
        <v>93</v>
      </c>
      <c r="J47" s="133">
        <v>2003</v>
      </c>
      <c r="K47" s="109" t="s">
        <v>96</v>
      </c>
      <c r="L47" s="109" t="s">
        <v>97</v>
      </c>
      <c r="M47" s="143">
        <v>2005</v>
      </c>
      <c r="N47" s="109" t="s">
        <v>101</v>
      </c>
      <c r="O47" s="109" t="s">
        <v>102</v>
      </c>
    </row>
    <row r="48" spans="1:15" ht="12.75">
      <c r="A48" s="1" t="str">
        <f>'1999'!M40</f>
        <v>CO2-emissioner (1000 tons)</v>
      </c>
      <c r="B48" s="2"/>
      <c r="C48" s="2"/>
      <c r="D48" s="2"/>
      <c r="E48" s="110">
        <f>'1997'!$L$40</f>
        <v>45.96407713935452</v>
      </c>
      <c r="F48" s="115">
        <f>'1999'!$L$40</f>
        <v>41.04906627628866</v>
      </c>
      <c r="G48" s="106">
        <f>(F48-E48)/E48</f>
        <v>-0.10693156849781758</v>
      </c>
      <c r="H48" s="120">
        <f>'2001'!L40</f>
        <v>22.63654494318177</v>
      </c>
      <c r="I48" s="106">
        <f aca="true" t="shared" si="0" ref="I48:I55">(H48-F48)/F48</f>
        <v>-0.4485490902321106</v>
      </c>
      <c r="J48" s="125">
        <f>'2003'!$L$40</f>
        <v>-19.200004143374922</v>
      </c>
      <c r="K48" s="106">
        <f aca="true" t="shared" si="1" ref="K48:K54">(J48-H48)/H48</f>
        <v>-1.848186160545585</v>
      </c>
      <c r="L48" s="106">
        <f>(J48-E48)/E48</f>
        <v>-1.4177176033615138</v>
      </c>
      <c r="M48" s="144">
        <f>'2005'!L43</f>
        <v>-15.237290672925514</v>
      </c>
      <c r="N48" s="152">
        <f>(H48-M48)/M48</f>
        <v>-2.485601701055928</v>
      </c>
      <c r="O48" s="106">
        <f>(E48-M48)/M48</f>
        <v>-4.016551834968018</v>
      </c>
    </row>
    <row r="49" spans="1:15" ht="13.5" thickBot="1">
      <c r="A49" s="11" t="s">
        <v>86</v>
      </c>
      <c r="B49" s="12"/>
      <c r="C49" s="12"/>
      <c r="D49" s="12"/>
      <c r="E49" s="111">
        <f>'1997'!$S$40</f>
        <v>10.610483460047734</v>
      </c>
      <c r="F49" s="116">
        <f>'1999'!$S$40</f>
        <v>9.696471500864916</v>
      </c>
      <c r="G49" s="103">
        <f aca="true" t="shared" si="2" ref="G49:G55">(F49-E49)/E49</f>
        <v>-0.08614234804892719</v>
      </c>
      <c r="H49" s="121">
        <f>'2001'!S40</f>
        <v>5.3250189939462365</v>
      </c>
      <c r="I49" s="104">
        <f t="shared" si="0"/>
        <v>-0.45082920179044</v>
      </c>
      <c r="J49" s="126">
        <f>'2003'!$S$40</f>
        <v>-4.520839214357175</v>
      </c>
      <c r="K49" s="104">
        <f t="shared" si="1"/>
        <v>-1.8489808617578087</v>
      </c>
      <c r="L49" s="104">
        <f aca="true" t="shared" si="3" ref="L49:L55">(J49-E49)/E49</f>
        <v>-1.4260728770163729</v>
      </c>
      <c r="M49" s="145">
        <f>'2005'!S43</f>
        <v>-3.5898639809735817</v>
      </c>
      <c r="N49" s="104">
        <f aca="true" t="shared" si="4" ref="N49:N55">(M49-H49)/H49</f>
        <v>-1.6741504556236755</v>
      </c>
      <c r="O49" s="104">
        <f aca="true" t="shared" si="5" ref="O49:O55">(M49-E49)/E49</f>
        <v>-1.3383318012313674</v>
      </c>
    </row>
    <row r="50" spans="1:15" ht="12.75">
      <c r="A50" s="4" t="str">
        <f>'1999'!M41</f>
        <v>SO2-emissioner (tons)</v>
      </c>
      <c r="B50" s="5"/>
      <c r="C50" s="5"/>
      <c r="D50" s="5"/>
      <c r="E50" s="112">
        <f>'1997'!$L$41</f>
        <v>85.34184826406076</v>
      </c>
      <c r="F50" s="117">
        <f>'1999'!$L$41</f>
        <v>52.20291310103093</v>
      </c>
      <c r="G50" s="106">
        <f t="shared" si="2"/>
        <v>-0.38830814936762187</v>
      </c>
      <c r="H50" s="122">
        <f>'2001'!L41</f>
        <v>33.07927055573522</v>
      </c>
      <c r="I50" s="103">
        <f t="shared" si="0"/>
        <v>-0.3663328616984412</v>
      </c>
      <c r="J50" s="127">
        <f>'2003'!$L$41</f>
        <v>23.903916523364078</v>
      </c>
      <c r="K50" s="103">
        <f t="shared" si="1"/>
        <v>-0.2773747388689119</v>
      </c>
      <c r="L50" s="103">
        <f t="shared" si="3"/>
        <v>-0.7199039274448136</v>
      </c>
      <c r="M50" s="146">
        <f>'2005'!L44</f>
        <v>-3.82008868911361</v>
      </c>
      <c r="N50" s="103">
        <f t="shared" si="4"/>
        <v>-1.1154828575399554</v>
      </c>
      <c r="O50" s="103">
        <f t="shared" si="5"/>
        <v>-1.04476219775899</v>
      </c>
    </row>
    <row r="51" spans="1:15" ht="13.5" thickBot="1">
      <c r="A51" s="4" t="s">
        <v>87</v>
      </c>
      <c r="B51" s="5"/>
      <c r="C51" s="5"/>
      <c r="D51" s="5"/>
      <c r="E51" s="112">
        <f>'1997'!$S$41</f>
        <v>19.700156025754932</v>
      </c>
      <c r="F51" s="117">
        <f>'1999'!$S$41</f>
        <v>12.429778463188478</v>
      </c>
      <c r="G51" s="103">
        <f t="shared" si="2"/>
        <v>-0.3690517756844946</v>
      </c>
      <c r="H51" s="122">
        <f>'2001'!S41</f>
        <v>7.7902533749153</v>
      </c>
      <c r="I51" s="103">
        <f t="shared" si="0"/>
        <v>-0.3732588719914362</v>
      </c>
      <c r="J51" s="127">
        <f>'2003'!$S$41</f>
        <v>5.62842395181636</v>
      </c>
      <c r="K51" s="103">
        <f t="shared" si="1"/>
        <v>-0.2775043787484569</v>
      </c>
      <c r="L51" s="103">
        <f t="shared" si="3"/>
        <v>-0.714295463220796</v>
      </c>
      <c r="M51" s="146">
        <f>'2005'!S44</f>
        <v>-0.8349887130837194</v>
      </c>
      <c r="N51" s="103">
        <f t="shared" si="4"/>
        <v>-1.107183768344736</v>
      </c>
      <c r="O51" s="103">
        <f t="shared" si="5"/>
        <v>-1.042384878170107</v>
      </c>
    </row>
    <row r="52" spans="1:15" ht="12.75">
      <c r="A52" s="1" t="str">
        <f>'1999'!M42</f>
        <v>NOx-emissioner (tons)</v>
      </c>
      <c r="B52" s="2"/>
      <c r="C52" s="2"/>
      <c r="D52" s="2"/>
      <c r="E52" s="110">
        <f>'1997'!$L$42</f>
        <v>338.06219915606727</v>
      </c>
      <c r="F52" s="115">
        <f>'1999'!$L$42</f>
        <v>294.27356540206193</v>
      </c>
      <c r="G52" s="106">
        <f t="shared" si="2"/>
        <v>-0.12952833491386653</v>
      </c>
      <c r="H52" s="120">
        <f>'2001'!L42</f>
        <v>280.7763724949322</v>
      </c>
      <c r="I52" s="106">
        <f t="shared" si="0"/>
        <v>-0.04586614121689349</v>
      </c>
      <c r="J52" s="125">
        <f>'2003'!$L$42</f>
        <v>200.83693485946827</v>
      </c>
      <c r="K52" s="106">
        <f t="shared" si="1"/>
        <v>-0.2847085633493138</v>
      </c>
      <c r="L52" s="106">
        <f t="shared" si="3"/>
        <v>-0.40591720884253196</v>
      </c>
      <c r="M52" s="144">
        <f>'2005'!L45</f>
        <v>-9.635624594090737</v>
      </c>
      <c r="N52" s="106">
        <f t="shared" si="4"/>
        <v>-1.0343177900208276</v>
      </c>
      <c r="O52" s="106">
        <f t="shared" si="5"/>
        <v>-1.0285025200041442</v>
      </c>
    </row>
    <row r="53" spans="1:15" ht="13.5" thickBot="1">
      <c r="A53" s="11" t="s">
        <v>88</v>
      </c>
      <c r="B53" s="12"/>
      <c r="C53" s="12"/>
      <c r="D53" s="12"/>
      <c r="E53" s="111">
        <f>'1997'!$S$42</f>
        <v>78.05176329063391</v>
      </c>
      <c r="F53" s="116">
        <f>'1999'!$S$42</f>
        <v>68.51437189080902</v>
      </c>
      <c r="G53" s="103">
        <f t="shared" si="2"/>
        <v>-0.12219315743465554</v>
      </c>
      <c r="H53" s="121">
        <f>'2001'!S42</f>
        <v>65.85776255164075</v>
      </c>
      <c r="I53" s="104">
        <f t="shared" si="0"/>
        <v>-0.038774482869113856</v>
      </c>
      <c r="J53" s="126">
        <f>'2003'!$S$42</f>
        <v>47.28912994100972</v>
      </c>
      <c r="K53" s="104">
        <f t="shared" si="1"/>
        <v>-0.28195055360514093</v>
      </c>
      <c r="L53" s="104">
        <f t="shared" si="3"/>
        <v>-0.3941311772173078</v>
      </c>
      <c r="M53" s="145">
        <f>'2005'!S45</f>
        <v>-2.036563378653876</v>
      </c>
      <c r="N53" s="104">
        <f t="shared" si="4"/>
        <v>-1.0309236648763607</v>
      </c>
      <c r="O53" s="104">
        <f t="shared" si="5"/>
        <v>-1.026092471108827</v>
      </c>
    </row>
    <row r="54" spans="1:15" ht="12.75">
      <c r="A54" s="4" t="s">
        <v>90</v>
      </c>
      <c r="B54" s="5"/>
      <c r="C54" s="5"/>
      <c r="D54" s="5"/>
      <c r="E54" s="113">
        <f>'1997'!$L$45</f>
        <v>0.21014763128901945</v>
      </c>
      <c r="F54" s="118">
        <f>'1999'!$L$45</f>
        <v>0.21317958134410575</v>
      </c>
      <c r="G54" s="106">
        <f t="shared" si="2"/>
        <v>0.014427714633225687</v>
      </c>
      <c r="H54" s="123">
        <f>'2001'!L45</f>
        <v>0.21998016893132574</v>
      </c>
      <c r="I54" s="103">
        <f t="shared" si="0"/>
        <v>0.031900745579581384</v>
      </c>
      <c r="J54" s="128">
        <f>'2003'!$L$45</f>
        <v>0.2893889092912229</v>
      </c>
      <c r="K54" s="103">
        <f t="shared" si="1"/>
        <v>0.31552271596611714</v>
      </c>
      <c r="L54" s="103">
        <f t="shared" si="3"/>
        <v>0.37707433348711716</v>
      </c>
      <c r="M54" s="147">
        <f>'2005'!L48</f>
        <v>0.3497345132743363</v>
      </c>
      <c r="N54" s="103">
        <f t="shared" si="4"/>
        <v>0.5898456436930811</v>
      </c>
      <c r="O54" s="103">
        <f t="shared" si="5"/>
        <v>0.6642324785157381</v>
      </c>
    </row>
    <row r="55" spans="1:15" ht="13.5" thickBot="1">
      <c r="A55" s="11" t="s">
        <v>91</v>
      </c>
      <c r="B55" s="12"/>
      <c r="C55" s="12"/>
      <c r="D55" s="12"/>
      <c r="E55" s="114">
        <f>'1997'!$S$44</f>
        <v>0.12993912136757116</v>
      </c>
      <c r="F55" s="119">
        <f>'1999'!$S$44</f>
        <v>0.14709341914192323</v>
      </c>
      <c r="G55" s="104">
        <f t="shared" si="2"/>
        <v>0.1320179603633464</v>
      </c>
      <c r="H55" s="124">
        <f>'2001'!S44</f>
        <v>0.36306046249772217</v>
      </c>
      <c r="I55" s="104">
        <f t="shared" si="0"/>
        <v>1.4682304933534989</v>
      </c>
      <c r="J55" s="129">
        <f>'2003'!$S$44</f>
        <v>1.0034844082005394</v>
      </c>
      <c r="K55" s="104">
        <f>(J55-H55)/H55</f>
        <v>1.7639594829382867</v>
      </c>
      <c r="L55" s="104">
        <f t="shared" si="3"/>
        <v>6.722727363700479</v>
      </c>
      <c r="M55" s="148">
        <f>'2005'!S47</f>
        <v>0.9859071258324229</v>
      </c>
      <c r="N55" s="104">
        <f t="shared" si="4"/>
        <v>1.715545281493185</v>
      </c>
      <c r="O55" s="104">
        <f t="shared" si="5"/>
        <v>6.587454151267451</v>
      </c>
    </row>
    <row r="57" spans="2:6" ht="12.75">
      <c r="B57">
        <f>E47</f>
        <v>1997</v>
      </c>
      <c r="C57">
        <f>F47</f>
        <v>1999</v>
      </c>
      <c r="D57">
        <f>H47</f>
        <v>2001</v>
      </c>
      <c r="E57">
        <f>J47</f>
        <v>2003</v>
      </c>
      <c r="F57">
        <f>M47</f>
        <v>2005</v>
      </c>
    </row>
    <row r="58" spans="1:6" ht="12.75">
      <c r="A58" t="str">
        <f>A48</f>
        <v>CO2-emissioner (1000 tons)</v>
      </c>
      <c r="B58" s="46">
        <f>E48</f>
        <v>45.96407713935452</v>
      </c>
      <c r="C58" s="46">
        <f>F48</f>
        <v>41.04906627628866</v>
      </c>
      <c r="D58" s="46">
        <f>H48</f>
        <v>22.63654494318177</v>
      </c>
      <c r="E58" s="46">
        <f>J48</f>
        <v>-19.200004143374922</v>
      </c>
      <c r="F58" s="46">
        <f>M48</f>
        <v>-15.237290672925514</v>
      </c>
    </row>
    <row r="59" spans="1:6" ht="12.75">
      <c r="A59" t="str">
        <f>A50</f>
        <v>SO2-emissioner (tons)</v>
      </c>
      <c r="B59" s="46">
        <f>E50</f>
        <v>85.34184826406076</v>
      </c>
      <c r="C59" s="46">
        <f>F50</f>
        <v>52.20291310103093</v>
      </c>
      <c r="D59" s="46">
        <f>H50</f>
        <v>33.07927055573522</v>
      </c>
      <c r="E59" s="46">
        <f>J50</f>
        <v>23.903916523364078</v>
      </c>
      <c r="F59" s="46">
        <f>M50</f>
        <v>-3.82008868911361</v>
      </c>
    </row>
    <row r="60" spans="1:6" ht="12.75">
      <c r="A60" t="str">
        <f>A52</f>
        <v>NOx-emissioner (tons)</v>
      </c>
      <c r="B60" s="46">
        <f>E52</f>
        <v>338.06219915606727</v>
      </c>
      <c r="C60" s="46">
        <f>F52</f>
        <v>294.27356540206193</v>
      </c>
      <c r="D60" s="46">
        <f>H52</f>
        <v>280.7763724949322</v>
      </c>
      <c r="E60" s="46">
        <f>J52</f>
        <v>200.83693485946827</v>
      </c>
      <c r="F60" s="46">
        <f>M52</f>
        <v>-9.635624594090737</v>
      </c>
    </row>
    <row r="61" spans="1:6" ht="12.75">
      <c r="A61" t="str">
        <f>A54</f>
        <v>Udnyttelsespct af lokale ressourcer</v>
      </c>
      <c r="B61" s="138">
        <f>E54</f>
        <v>0.21014763128901945</v>
      </c>
      <c r="C61" s="138">
        <f>F54</f>
        <v>0.21317958134410575</v>
      </c>
      <c r="D61" s="138">
        <f>H54</f>
        <v>0.21998016893132574</v>
      </c>
      <c r="E61" s="138">
        <f>J54</f>
        <v>0.2893889092912229</v>
      </c>
      <c r="F61" s="138">
        <f>M54</f>
        <v>0.3497345132743363</v>
      </c>
    </row>
  </sheetData>
  <printOptions/>
  <pageMargins left="0.7874015748031497" right="0.49" top="0.984251968503937" bottom="0.984251968503937" header="0.5118110236220472" footer="0.5118110236220472"/>
  <pageSetup fitToHeight="1" fitToWidth="1" horizontalDpi="600" verticalDpi="600" orientation="portrait" paperSize="9" scale="68" r:id="rId2"/>
  <headerFooter alignWithMargins="0">
    <oddHeader>&amp;LPlanEnergi&amp;C&amp;A</oddHeader>
    <oddFooter>&amp;L&amp;F&amp;C&amp;P&amp;R&amp;T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PlanEnergi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Holm Tambjerg</dc:creator>
  <cp:keywords/>
  <dc:description/>
  <cp:lastModifiedBy>Peter Jakob Jørgensen</cp:lastModifiedBy>
  <cp:lastPrinted>2007-08-13T10:05:14Z</cp:lastPrinted>
  <dcterms:created xsi:type="dcterms:W3CDTF">2002-09-09T13:04:03Z</dcterms:created>
  <dcterms:modified xsi:type="dcterms:W3CDTF">2007-08-13T10:06:05Z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